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9c8e594c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FO Scorecard" sheetId="1" r:id="R664ff04dcc1446ea"/>
    <x:sheet xmlns:r="http://schemas.openxmlformats.org/officeDocument/2006/relationships" name="Value Case" sheetId="2" r:id="Rea92afaecd3b4868"/>
    <x:sheet xmlns:r="http://schemas.openxmlformats.org/officeDocument/2006/relationships" name="TEAM Brief" sheetId="3" r:id="R1f075c251a224577"/>
    <x:sheet xmlns:r="http://schemas.openxmlformats.org/officeDocument/2006/relationships" name="FP&amp;A" sheetId="4" r:id="R3d5d8b4b43d54cbf"/>
    <x:sheet xmlns:r="http://schemas.openxmlformats.org/officeDocument/2006/relationships" name="Treasury" sheetId="5" r:id="R4b0c370c7f6a48d9"/>
    <x:sheet xmlns:r="http://schemas.openxmlformats.org/officeDocument/2006/relationships" name="IR Pack" sheetId="6" r:id="R3186082780df437a"/>
    <x:sheet xmlns:r="http://schemas.openxmlformats.org/officeDocument/2006/relationships" name="Control and Investment" sheetId="7" r:id="R440335e2b7ad4544"/>
    <x:sheet xmlns:r="http://schemas.openxmlformats.org/officeDocument/2006/relationships" name="ACCELERATE" sheetId="8" r:id="R721f51427ce1457e"/>
    <x:sheet xmlns:r="http://schemas.openxmlformats.org/officeDocument/2006/relationships" name="FUNCTION" sheetId="9" r:id="Ra8aa77fef6d445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;(#,##0);&quot;-&quot;"/>
    <x:numFmt numFmtId="201" formatCode="0.0;(0.0);&quot;-&quot;"/>
    <x:numFmt numFmtId="202" formatCode="0.0%;(0.0%);&quot;-&quot;"/>
    <x:numFmt numFmtId="203" formatCode="&quot;£&quot;#,##0;(&quot;£&quot;#,##0);&quot;-&quot;"/>
    <x:numFmt numFmtId="204" formatCode="0%"/>
    <x:numFmt numFmtId="205" formatCode="0.00"/>
    <x:numFmt numFmtId="206" formatCode="0.0"/>
    <x:numFmt numFmtId="207" formatCode="#,##0.00"/>
  </x:numFmts>
  <x:fonts count="8">
    <x:font>
      <x:sz val="11"/>
      <x:name val="Carlito"/>
    </x:font>
    <x:font>
      <x:sz val="11"/>
      <x:color rgb="FF173F59"/>
      <x:name val="Arial"/>
    </x:font>
    <x:font>
      <x:b/>
      <x:sz val="17"/>
      <x:color rgb="FF005A9C"/>
      <x:name val="Arial"/>
    </x:font>
    <x:font>
      <x:i/>
      <x:sz val="10"/>
      <x:color rgb="FF536F84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1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5A9C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3C8D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2" fontId="5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5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  <x:xf numFmtId="206" fontId="6" fillId="0" borderId="0" xfId="0" applyNumberFormat="1" applyFont="1" applyFill="1" applyBorder="1" applyAlignment="1">
      <x:alignment vertical="center" wrapText="1"/>
    </x:xf>
    <x:xf numFmtId="206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207" fontId="1" fillId="0" borderId="0" xfId="0" applyNumberFormat="1" applyFont="1" applyFill="1" applyBorder="1" applyAlignment="1">
      <x:alignment vertical="center" wrapText="1"/>
    </x:xf>
    <x:xf numFmtId="207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205" fontId="5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57c98e5e444a1" /><Relationship Type="http://schemas.openxmlformats.org/officeDocument/2006/relationships/theme" Target="/xl/theme/theme1.xml" Id="R2f4bb5f4137c42ce" /><Relationship Type="http://schemas.openxmlformats.org/officeDocument/2006/relationships/sharedStrings" Target="/xl/sharedStrings.xml" Id="R02b46856a6ee404e" /><Relationship Type="http://schemas.openxmlformats.org/officeDocument/2006/relationships/worksheet" Target="/xl/worksheets/sheet1.xml" Id="R664ff04dcc1446ea" /><Relationship Type="http://schemas.openxmlformats.org/officeDocument/2006/relationships/worksheet" Target="/xl/worksheets/sheet2.xml" Id="Rea92afaecd3b4868" /><Relationship Type="http://schemas.openxmlformats.org/officeDocument/2006/relationships/worksheet" Target="/xl/worksheets/sheet3.xml" Id="R1f075c251a224577" /><Relationship Type="http://schemas.openxmlformats.org/officeDocument/2006/relationships/worksheet" Target="/xl/worksheets/sheet4.xml" Id="R3d5d8b4b43d54cbf" /><Relationship Type="http://schemas.openxmlformats.org/officeDocument/2006/relationships/worksheet" Target="/xl/worksheets/sheet5.xml" Id="R4b0c370c7f6a48d9" /><Relationship Type="http://schemas.openxmlformats.org/officeDocument/2006/relationships/worksheet" Target="/xl/worksheets/sheet6.xml" Id="R3186082780df437a" /><Relationship Type="http://schemas.openxmlformats.org/officeDocument/2006/relationships/worksheet" Target="/xl/worksheets/sheet7.xml" Id="R440335e2b7ad4544" /><Relationship Type="http://schemas.openxmlformats.org/officeDocument/2006/relationships/worksheet" Target="/xl/worksheets/sheet8.xml" Id="R721f51427ce1457e" /><Relationship Type="http://schemas.openxmlformats.org/officeDocument/2006/relationships/worksheet" Target="/xl/worksheets/sheet9.xml" Id="Ra8aa77fef6d445d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d4d99d394bf482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716ae5ac7a24ae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Cumulative cash benefit (£)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Cumulative cash</c:v>
          </c:tx>
          <c:spPr>
            <a:ln xmlns:a="http://schemas.openxmlformats.org/drawingml/2006/main" w="19050">
              <a:solidFill>
                <a:srgbClr val="005A9C"/>
              </a:solidFill>
              <a:prstDash val="solid"/>
            </a:ln>
          </c:spPr>
          <c:marker>
            <c:symbol val="none"/>
          </c:marker>
          <c:cat>
            <c:strRef>
              <c:f>'Value Case'!$B$53:$B$89</c:f>
              <c:strCache>
                <c:ptCount val="0"/>
              </c:strCache>
            </c:strRef>
          </c:cat>
          <c:val>
            <c:numRef>
              <c:f>'Value Case'!$G$53:$G$89</c:f>
              <c:numCache>
                <c:formatCode>"£"#,##0;("£"#,##0);"-"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£&quot;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Cash compared with the buffer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 £000</c:v>
          </c:tx>
          <c:spPr>
            <a:solidFill xmlns:a="http://schemas.openxmlformats.org/drawingml/2006/main">
              <a:srgbClr val="005A9C"/>
            </a:solidFill>
            <a:ln xmlns:a="http://schemas.openxmlformats.org/drawingml/2006/main" w="19050">
              <a:solidFill>
                <a:srgbClr val="005A9C"/>
              </a:solidFill>
              <a:prstDash val="solid"/>
            </a:ln>
          </c:spPr>
          <c:marker>
            <c:symbol val="none"/>
          </c:marker>
          <c:cat>
            <c:strRef>
              <c:f>'Treasury'!$B$25:$B$37</c:f>
              <c:strCache>
                <c:ptCount val="0"/>
              </c:strCache>
            </c:strRef>
          </c:cat>
          <c:val>
            <c:numRef>
              <c:f>'Treasury'!$C$25:$C$37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Buffer £000</c:v>
          </c:tx>
          <c:spPr>
            <a:solidFill xmlns:a="http://schemas.openxmlformats.org/drawingml/2006/main">
              <a:srgbClr val="B16A00"/>
            </a:solidFill>
            <a:ln xmlns:a="http://schemas.openxmlformats.org/drawingml/2006/main" w="19050">
              <a:solidFill>
                <a:srgbClr val="B16A00"/>
              </a:solidFill>
              <a:prstDash val="dash"/>
            </a:ln>
          </c:spPr>
          <c:marker>
            <c:symbol val="none"/>
          </c:marker>
          <c:cat>
            <c:strRef>
              <c:f>'Treasury'!$B$25:$B$37</c:f>
              <c:strCache>
                <c:ptCount val="0"/>
              </c:strCache>
            </c:strRef>
          </c:cat>
          <c:val>
            <c:numRef>
              <c:f>'Treasury'!$D$25:$D$37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11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d4d99d394bf482a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23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716ae5ac7a24ae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c74c9ed44274d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4bfdd192f4ca4e7c" /></Relationships>
</file>

<file path=xl/worksheets/sheet1.xml><?xml version="1.0" encoding="utf-8"?>
<x:worksheet xmlns:x="http://schemas.openxmlformats.org/spreadsheetml/2006/main">
  <x:sheetPr>
    <x:tabColor rgb="FF005A9C"/>
  </x:sheetPr>
  <x:sheetViews>
    <x:sheetView showGridLines="0" workbookViewId="0"/>
  </x:sheetViews>
  <x:sheetFormatPr defaultRowHeight="15"/>
  <x:cols>
    <x:col min="1" max="1" width="3" hidden="0" customWidth="1"/>
    <x:col min="2" max="2" width="45" hidden="0" customWidth="1"/>
    <x:col min="3" max="3" width="21" hidden="0" customWidth="1"/>
    <x:col min="4" max="4" width="40" hidden="0" customWidth="1"/>
    <x:col min="5" max="5" width="15" hidden="0" customWidth="1"/>
    <x:col min="6" max="6" width="2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CFO decision scorecard</x:v>
      </x:c>
      <x:c r="C2" s="6"/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Illustrative sample. A modelled return is not a verified benefit. Start here, then edit Value Case.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2"/>
      <x:c r="B5" s="9" t="str">
        <x:v>Investment metric</x:v>
      </x:c>
      <x:c r="C5" s="9" t="str">
        <x:v>Sample result</x:v>
      </x:c>
      <x:c r="D5" s="9" t="str">
        <x:v>CFO interpretation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2" customHeight="1">
      <x:c r="A6" s="2"/>
      <x:c r="B6" s="2" t="str">
        <x:v>Effort reduction</x:v>
      </x:c>
      <x:c r="C6" s="24" t="n">
        <x:f>'Value Case'!C7</x:f>
        <x:v>0.4</x:v>
      </x:c>
      <x:c r="D6" s="10" t="str">
        <x:v>Includes routine review and upkeep.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2" customHeight="1">
      <x:c r="A7" s="2"/>
      <x:c r="B7" s="2" t="str">
        <x:v>Annual capacity released (hours)</x:v>
      </x:c>
      <x:c r="C7" s="25" t="n">
        <x:f>'Value Case'!C6</x:f>
        <x:v>810</x:v>
      </x:c>
      <x:c r="D7" s="10" t="str">
        <x:v>Not an automatic payroll saving.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2" customHeight="1">
      <x:c r="A8" s="2"/>
      <x:c r="B8" s="2" t="str">
        <x:v>First-year cash benefit</x:v>
      </x:c>
      <x:c r="C8" s="26" t="n">
        <x:f>'Value Case'!C14</x:f>
        <x:v>16000</x:v>
      </x:c>
      <x:c r="D8" s="10" t="str">
        <x:v>Contractor expense avoidance assumption.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2" customHeight="1">
      <x:c r="A9" s="2"/>
      <x:c r="B9" s="2" t="str">
        <x:v>First-year net cash benefit</x:v>
      </x:c>
      <x:c r="C9" s="26" t="n">
        <x:f>'Value Case'!C15</x:f>
        <x:v>-9400</x:v>
      </x:c>
      <x:c r="D9" s="10" t="str">
        <x:v>After upfront and recurring cash costs.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2" customHeight="1">
      <x:c r="A10" s="2"/>
      <x:c r="B10" s="2" t="str">
        <x:v>First-year cash ROI</x:v>
      </x:c>
      <x:c r="C10" s="24" t="n">
        <x:f>'Value Case'!C16</x:f>
        <x:v>-0.3700787401574803</x:v>
      </x:c>
      <x:c r="D10" s="10" t="str">
        <x:v>Net cash benefit / total cash cost.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2" customHeight="1">
      <x:c r="A11" s="2"/>
      <x:c r="B11" s="2" t="str">
        <x:v>Cash payback (months)</x:v>
      </x:c>
      <x:c r="C11" s="25" t="n">
        <x:f>'Value Case'!C19</x:f>
        <x:v>18.06451612903226</x:v>
      </x:c>
      <x:c r="D11" s="10" t="str">
        <x:v>Time from programme start.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2" customHeight="1">
      <x:c r="A12" s="2"/>
      <x:c r="B12" s="2" t="str">
        <x:v>Three-year cash NPV</x:v>
      </x:c>
      <x:c r="C12" s="26" t="n">
        <x:f>'Value Case'!C20</x:f>
        <x:v>20503.648635795384</x:v>
      </x:c>
      <x:c r="D12" s="10" t="str">
        <x:v>Discounted at the input rate.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2" customHeight="1">
      <x:c r="A13" s="2"/>
      <x:c r="B13" s="2" t="str">
        <x:v>First-year economic net value</x:v>
      </x:c>
      <x:c r="C13" s="26" t="n">
        <x:f>'Value Case'!C17</x:f>
        <x:v>-1800</x:v>
      </x:c>
      <x:c r="D13" s="10" t="str">
        <x:v>Includes non-cash capacity and staff time.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2" customHeight="1">
      <x:c r="A14" s="2"/>
      <x:c r="B14" s="2" t="str">
        <x:v>Annual cashable hours needed</x:v>
      </x:c>
      <x:c r="C14" s="25" t="n">
        <x:f>'Value Case'!C21</x:f>
        <x:v>396.875</x:v>
      </x:c>
      <x:c r="D14" s="10" t="str">
        <x:v>To meet the chosen first-year ROI hurdle.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/>
      <x:c r="B16" s="2" t="str">
        <x:v>Commercial decision</x:v>
      </x:c>
      <x:c r="C16" s="23" t="str">
        <x:f>IF('Value Case'!C23&lt;&gt;"Valid","Fix inputs",IF(AND(ISNUMBER('Value Case'!C16),'Value Case'!C16&gt;='Value Case'!C46,ISNUMBER('Value Case'!C19),'Value Case'!C19&lt;='Value Case'!C47),"Review evidence","Revise value case"))</x:f>
        <x:v>Revise value case</x:v>
      </x:c>
      <x:c r="D16" s="2" t="str">
        <x:v>This result does not authorise expenditure.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0" customHeight="1">
      <x:c r="A20" s="2"/>
      <x:c r="B20" s="9" t="str">
        <x:v>Evidence dimension</x:v>
      </x:c>
      <x:c r="C20" s="9" t="str">
        <x:v>Weight</x:v>
      </x:c>
      <x:c r="D20" s="9" t="str">
        <x:v>Score rationale</x:v>
      </x:c>
      <x:c r="E20" s="9" t="str">
        <x:v>Score 0–4</x:v>
      </x:c>
      <x:c r="F20" s="9" t="str">
        <x:v>Weighted points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8" customHeight="1">
      <x:c r="A21" s="2"/>
      <x:c r="B21" s="10" t="str">
        <x:v>Financial value</x:v>
      </x:c>
      <x:c r="C21" s="27" t="n">
        <x:v>0.3</x:v>
      </x:c>
      <x:c r="D21" s="10" t="str">
        <x:v>Costs defined; cash conversion unverified.</x:v>
      </x:c>
      <x:c r="E21" s="12" t="n">
        <x:v>1</x:v>
      </x:c>
      <x:c r="F21" s="30" t="n">
        <x:f>IF(ISNUMBER(E21),C21*E21/4*100,"Score needed")</x:f>
        <x:v>7.5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8" customHeight="1">
      <x:c r="A22" s="2"/>
      <x:c r="B22" s="10" t="str">
        <x:v>Workplace evidence</x:v>
      </x:c>
      <x:c r="C22" s="27" t="n">
        <x:v>0.25</x:v>
      </x:c>
      <x:c r="D22" s="10" t="str">
        <x:v>No client observations in a teaching sample.</x:v>
      </x:c>
      <x:c r="E22" s="12" t="n">
        <x:v>0</x:v>
      </x:c>
      <x:c r="F22" s="30" t="n">
        <x:f>IF(ISNUMBER(E22),C22*E22/4*100,"Score needed")</x:f>
        <x:v>0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8" customHeight="1">
      <x:c r="A23" s="2"/>
      <x:c r="B23" s="10" t="str">
        <x:v>Decision effectiveness</x:v>
      </x:c>
      <x:c r="C23" s="27" t="n">
        <x:v>0.2</x:v>
      </x:c>
      <x:c r="D23" s="10" t="str">
        <x:v>Metrics and tests designed; not proven.</x:v>
      </x:c>
      <x:c r="E23" s="12" t="n">
        <x:v>2</x:v>
      </x:c>
      <x:c r="F23" s="30" t="n">
        <x:f>IF(ISNUMBER(E23),C23*E23/4*100,"Score needed")</x:f>
        <x:v>10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48" customHeight="1">
      <x:c r="A24" s="2"/>
      <x:c r="B24" s="10" t="str">
        <x:v>Ownership and adoption</x:v>
      </x:c>
      <x:c r="C24" s="27" t="n">
        <x:v>0.15</x:v>
      </x:c>
      <x:c r="D24" s="10" t="str">
        <x:v>Roles and handoffs designed; not accepted.</x:v>
      </x:c>
      <x:c r="E24" s="12" t="n">
        <x:v>2</x:v>
      </x:c>
      <x:c r="F24" s="30" t="n">
        <x:f>IF(ISNUMBER(E24),C24*E24/4*100,"Score needed")</x:f>
        <x:v>7.5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48" customHeight="1">
      <x:c r="A25" s="2"/>
      <x:c r="B25" s="10" t="str">
        <x:v>Controls and maintainability</x:v>
      </x:c>
      <x:c r="C25" s="27" t="n">
        <x:v>0.1</x:v>
      </x:c>
      <x:c r="D25" s="10" t="str">
        <x:v>Checks designed; client approval outstanding.</x:v>
      </x:c>
      <x:c r="E25" s="12" t="n">
        <x:v>2</x:v>
      </x:c>
      <x:c r="F25" s="30" t="n">
        <x:f>IF(ISNUMBER(E25),C25*E25/4*100,"Score needed")</x:f>
        <x:v>5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 t="str">
        <x:v>Investment readiness score / 100</x:v>
      </x:c>
      <x:c r="C26" s="2"/>
      <x:c r="D26" s="2"/>
      <x:c r="E26" s="2"/>
      <x:c r="F26" s="31" t="n">
        <x:f>IF(COUNT(E21:E25)&lt;5,"Score needed",SUM(F21:F25))</x:f>
        <x:v>30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 t="str">
        <x:v>Scoring: 0 absent; 1 defined; 2 designed/test-ready; 3 measured with owner sign-off; 4 sustained and repeatable.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 t="str">
        <x:v>Weights and thresholds are proposed discussion tools, not an industry benchmark. No score overrides a failed gate.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30" customHeight="1">
      <x:c r="A32" s="2"/>
      <x:c r="B32" s="9" t="str">
        <x:v>Required decision gate</x:v>
      </x:c>
      <x:c r="C32" s="9" t="str">
        <x:v>Client status</x:v>
      </x:c>
      <x:c r="D32" s="9" t="str">
        <x:v>Evidence required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42" customHeight="1">
      <x:c r="A33" s="2"/>
      <x:c r="B33" s="10" t="str">
        <x:v>Data and control approval</x:v>
      </x:c>
      <x:c r="C33" s="12" t="str">
        <x:v>Not confirmed</x:v>
      </x:c>
      <x:c r="D33" s="10" t="str">
        <x:v>Tool access, data use and human review approved.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42" customHeight="1">
      <x:c r="A34" s="2"/>
      <x:c r="B34" s="10" t="str">
        <x:v>Cash-benefit owner</x:v>
      </x:c>
      <x:c r="C34" s="12" t="str">
        <x:v>Not confirmed</x:v>
      </x:c>
      <x:c r="D34" s="10" t="str">
        <x:v>Budget owner confirms a removable expense.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42" customHeight="1">
      <x:c r="A35" s="2"/>
      <x:c r="B35" s="10" t="str">
        <x:v>Live pilot evidence</x:v>
      </x:c>
      <x:c r="C35" s="12" t="str">
        <x:v>Not confirmed</x:v>
      </x:c>
      <x:c r="D35" s="10" t="str">
        <x:v>Comparable effort, quality and decision results.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42" customHeight="1">
      <x:c r="A36" s="2"/>
      <x:c r="B36" s="10" t="str">
        <x:v>Accountable operating owner</x:v>
      </x:c>
      <x:c r="C36" s="12" t="str">
        <x:v>Not confirmed</x:v>
      </x:c>
      <x:c r="D36" s="10" t="str">
        <x:v>Refresh, exceptions and upkeep accepted.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 t="str">
        <x:v>Funding recommendation</x:v>
      </x:c>
      <x:c r="C38" s="17" t="str">
        <x:f>IF(AND(F26&gt;=70,COUNTIFS(C33:C36,"Confirmed")=4,C16="Review evidence"),"Sponsor review","Pilot evidence required")</x:f>
        <x:v>Pilot evidence required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 t="str">
        <x:v>Use the brief pack for the stage deliverables and decision conditions. Replace fictional assumptions before funding.</x:v>
      </x:c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dataValidations count="2">
    <x:dataValidation type="whole" operator="between" sqref="E21:E25">
      <x:formula1>0</x:formula1>
      <x:formula2>4</x:formula2>
    </x:dataValidation>
    <x:dataValidation type="list" sqref="C33:C36">
      <x:formula1>"Not confirmed,Confirmed"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F7D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46" hidden="0" customWidth="1"/>
    <x:col min="3" max="3" width="19" hidden="0" customWidth="1"/>
    <x:col min="4" max="4" width="3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Finance investment case</x:v>
      </x:c>
      <x:c r="C2" s="6"/>
      <x:c r="D2" s="6"/>
      <x:c r="E2" s="6"/>
      <x:c r="F2" s="6"/>
      <x:c r="G2" s="6"/>
      <x:c r="H2" s="6"/>
      <x:c r="I2" s="6"/>
      <x:c r="J2" s="6"/>
      <x:c r="K2" s="6"/>
      <x:c r="L2" s="2"/>
      <x:c r="M2" s="2"/>
      <x:c r="N2" s="2"/>
      <x:c r="O2" s="2"/>
      <x:c r="P2" s="2"/>
    </x:row>
    <x:row r="3" ht="23" customHeight="1">
      <x:c r="A3" s="2"/>
      <x:c r="B3" s="4" t="str">
        <x:v>Fictional demonstration. GBP, pre-tax, incremental cash flows. Fees are assumptions, not a TIP quote.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0" customHeight="1">
      <x:c r="A5" s="2"/>
      <x:c r="B5" s="9" t="str">
        <x:v>Metric</x:v>
      </x:c>
      <x:c r="C5" s="9" t="str">
        <x:v>Calculated result</x:v>
      </x:c>
      <x:c r="D5" s="9" t="str">
        <x:v>Basis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7" customHeight="1">
      <x:c r="A6" s="2"/>
      <x:c r="B6" s="2" t="str">
        <x:v>Annual capacity released (hours)</x:v>
      </x:c>
      <x:c r="C6" s="19" t="n">
        <x:f>IF($C$23&lt;&gt;"Valid","Input required",(C26-C27)*C28*C29*C30*C31)</x:f>
        <x:v>810</x:v>
      </x:c>
      <x:c r="D6" s="10" t="str">
        <x:v>Steady state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7" customHeight="1">
      <x:c r="A7" s="2"/>
      <x:c r="B7" s="2" t="str">
        <x:v>Effort reduction</x:v>
      </x:c>
      <x:c r="C7" s="20" t="n">
        <x:f>IF($C$23&lt;&gt;"Valid","Input required",IF(C26=0,"n.a.",(C26-C27)/C26))</x:f>
        <x:v>0.4</x:v>
      </x:c>
      <x:c r="D7" s="10" t="str">
        <x:v>Same recurring work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7" customHeight="1">
      <x:c r="A8" s="2"/>
      <x:c r="B8" s="2" t="str">
        <x:v>Annual cash benefit at full use</x:v>
      </x:c>
      <x:c r="C8" s="18" t="n">
        <x:f>IF($C$23&lt;&gt;"Valid","Input required",C32*C33)</x:f>
        <x:v>24000</x:v>
      </x:c>
      <x:c r="D8" s="10" t="str">
        <x:v>Expense avoidance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7" customHeight="1">
      <x:c r="A9" s="2"/>
      <x:c r="B9" s="2" t="str">
        <x:v>Annual redeployed capacity value</x:v>
      </x:c>
      <x:c r="C9" s="18" t="n">
        <x:f>IF($C$23&lt;&gt;"Valid","Input required",(C6-C32)*C34)</x:f>
        <x:v>36600</x:v>
      </x:c>
      <x:c r="D9" s="10" t="str">
        <x:v>Non-cash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7" customHeight="1">
      <x:c r="A10" s="2"/>
      <x:c r="B10" s="2" t="str">
        <x:v>Upfront cash cost</x:v>
      </x:c>
      <x:c r="C10" s="18" t="n">
        <x:f>IF($C$23&lt;&gt;"Valid","Input required",SUM(C38:C39))</x:f>
        <x:v>20000</x:v>
      </x:c>
      <x:c r="D10" s="10" t="str">
        <x:v>Month 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7" customHeight="1">
      <x:c r="A11" s="2"/>
      <x:c r="B11" s="2" t="str">
        <x:v>Upfront internal opportunity cost</x:v>
      </x:c>
      <x:c r="C11" s="18" t="n">
        <x:f>IF($C$23&lt;&gt;"Valid","Input required",SUM(C40:C41)*C34)</x:f>
        <x:v>15360</x:v>
      </x:c>
      <x:c r="D11" s="10" t="str">
        <x:v>Non-cash, month 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7" customHeight="1">
      <x:c r="A12" s="2"/>
      <x:c r="B12" s="2" t="str">
        <x:v>Annual recurring cash cost</x:v>
      </x:c>
      <x:c r="C12" s="18" t="n">
        <x:f>IF($C$23&lt;&gt;"Valid","Input required",SUM(C42:C43)*12)</x:f>
        <x:v>5400</x:v>
      </x:c>
      <x:c r="D12" s="10" t="str">
        <x:v>12 months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7" customHeight="1">
      <x:c r="A13" s="2"/>
      <x:c r="B13" s="2" t="str">
        <x:v>Annual internal programme cost</x:v>
      </x:c>
      <x:c r="C13" s="18" t="n">
        <x:f>IF($C$23&lt;&gt;"Valid","Input required",C44*C34)</x:f>
        <x:v>1440</x:v>
      </x:c>
      <x:c r="D13" s="10" t="str">
        <x:v>Separate from task upkeep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7" customHeight="1">
      <x:c r="A14" s="2"/>
      <x:c r="B14" s="2" t="str">
        <x:v>First-year cash benefit</x:v>
      </x:c>
      <x:c r="C14" s="18" t="n">
        <x:f>IF($C$23&lt;&gt;"Valid","Input required",SUM(D54:D65))</x:f>
        <x:v>16000</x:v>
      </x:c>
      <x:c r="D14" s="10" t="str">
        <x:v>Rollout timing included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7" customHeight="1">
      <x:c r="A15" s="2"/>
      <x:c r="B15" s="2" t="str">
        <x:v>First-year net cash benefit</x:v>
      </x:c>
      <x:c r="C15" s="18" t="n">
        <x:f>IF($C$23&lt;&gt;"Valid","Input required",C14-C10-C12)</x:f>
        <x:v>-9400</x:v>
      </x:c>
      <x:c r="D15" s="10" t="str">
        <x:v>Benefit less all cash costs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7" customHeight="1">
      <x:c r="A16" s="2"/>
      <x:c r="B16" s="2" t="str">
        <x:v>First-year cash benefit-cost ROI</x:v>
      </x:c>
      <x:c r="C16" s="20" t="n">
        <x:f>IF($C$23&lt;&gt;"Valid","Input required",IF(C10+C12=0,"n.a.",C15/(C10+C12)))</x:f>
        <x:v>-0.3700787401574803</x:v>
      </x:c>
      <x:c r="D16" s="10" t="str">
        <x:v>Net / total cash costs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7" customHeight="1">
      <x:c r="A17" s="2"/>
      <x:c r="B17" s="2" t="str">
        <x:v>First-year total economic net value</x:v>
      </x:c>
      <x:c r="C17" s="18" t="n">
        <x:f>IF($C$23&lt;&gt;"Valid","Input required",C15+SUM(J54:J65)-C11-C13)</x:f>
        <x:v>-1800</x:v>
      </x:c>
      <x:c r="D17" s="10" t="str">
        <x:v>Includes capacity and staff cost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7" customHeight="1">
      <x:c r="A18" s="2"/>
      <x:c r="B18" s="2" t="str">
        <x:v>First-year economic benefit-cost ROI</x:v>
      </x:c>
      <x:c r="C18" s="20" t="n">
        <x:f>IF($C$23&lt;&gt;"Valid","Input required",IF(C10+C12+C11+C13=0,"n.a.",C17/(C10+C12+C11+C13)))</x:f>
        <x:v>-0.04265402843601896</x:v>
      </x:c>
      <x:c r="D18" s="10" t="str">
        <x:v>Net / all economic costs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7" customHeight="1">
      <x:c r="A19" s="2"/>
      <x:c r="B19" s="2" t="str">
        <x:v>Cash payback (months from start)</x:v>
      </x:c>
      <x:c r="C19" s="19" t="n">
        <x:f>IF($C$23&lt;&gt;"Valid","Input required",IF(C10=0,0,IF(SUM(I54:I89)=0,"&gt;36 months",SUM(I54:I89))))</x:f>
        <x:v>18.06451612903226</x:v>
      </x:c>
      <x:c r="D19" s="10" t="str">
        <x:v>Interpolated monthly</x:v>
      </x:c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7" customHeight="1">
      <x:c r="A20" s="2"/>
      <x:c r="B20" s="2" t="str">
        <x:v>Three-year cash NPV</x:v>
      </x:c>
      <x:c r="C20" s="18" t="n">
        <x:f>IF($C$23&lt;&gt;"Valid","Input required",SUM(H53:H89))</x:f>
        <x:v>20503.648635795384</x:v>
      </x:c>
      <x:c r="D20" s="10" t="str">
        <x:v>36 months, annual discount rate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7" customHeight="1">
      <x:c r="A21" s="2"/>
      <x:c r="B21" s="2" t="str">
        <x:v>Cashable hours for first-year ROI hurdle</x:v>
      </x:c>
      <x:c r="C21" s="19" t="n">
        <x:f>IF($C$23&lt;&gt;"Valid","Input required",IF(OR(SUM(C54:C65)=0,C33=0),"n.a.",((C10+C12)*(1+C46))/(SUM(C54:C65)/12)/C33))</x:f>
        <x:v>396.875</x:v>
      </x:c>
      <x:c r="D21" s="10" t="str">
        <x:v>At contractor hourly rate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 t="str">
        <x:v>Input status</x:v>
      </x:c>
      <x:c r="C23" s="17" t="str">
        <x:f>IF(COUNT(C26:C47)&lt;&gt;22,"Missing numeric input",IF(MIN(C26:C47)&lt;0,"Negative input",IF(OR(C27&gt;C26,C28=0,C31&gt;1,C37&gt;1,C35&lt;1,C35&gt;36,C32&gt;(C26-C27)*C28*C29*C30*C31),"Invalid scope or cash hours","Valid")))</x:f>
        <x:v>Valid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0" customHeight="1">
      <x:c r="A25" s="2"/>
      <x:c r="B25" s="9" t="str">
        <x:v>Editable assumption</x:v>
      </x:c>
      <x:c r="C25" s="9" t="str">
        <x:v>Value</x:v>
      </x:c>
      <x:c r="D25" s="9" t="str">
        <x:v>Unit / definition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9" customHeight="1">
      <x:c r="A26" s="2"/>
      <x:c r="B26" s="10" t="str">
        <x:v>Current effort per cycle</x:v>
      </x:c>
      <x:c r="C26" s="13" t="n">
        <x:v>5</x:v>
      </x:c>
      <x:c r="D26" s="10" t="str">
        <x:v>Team days; includes review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9" customHeight="1">
      <x:c r="A27" s="2"/>
      <x:c r="B27" s="10" t="str">
        <x:v>Target effort per cycle</x:v>
      </x:c>
      <x:c r="C27" s="13" t="n">
        <x:v>3</x:v>
      </x:c>
      <x:c r="D27" s="10" t="str">
        <x:v>Team days; includes upkeep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9" customHeight="1">
      <x:c r="A28" s="2"/>
      <x:c r="B28" s="10" t="str">
        <x:v>Hours per effort-day</x:v>
      </x:c>
      <x:c r="C28" s="14" t="n">
        <x:v>7.5</x:v>
      </x:c>
      <x:c r="D28" s="10" t="str">
        <x:v>Hours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9" customHeight="1">
      <x:c r="A29" s="2"/>
      <x:c r="B29" s="10" t="str">
        <x:v>Cycles per year</x:v>
      </x:c>
      <x:c r="C29" s="13" t="n">
        <x:v>12</x:v>
      </x:c>
      <x:c r="D29" s="10" t="str">
        <x:v>Comparable cycles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9" customHeight="1">
      <x:c r="A30" s="2"/>
      <x:c r="B30" s="10" t="str">
        <x:v>Comparable workflows</x:v>
      </x:c>
      <x:c r="C30" s="13" t="n">
        <x:v>6</x:v>
      </x:c>
      <x:c r="D30" s="10" t="str">
        <x:v>Validate before extrapolating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9" customHeight="1">
      <x:c r="A31" s="2"/>
      <x:c r="B31" s="10" t="str">
        <x:v>Adoption / eligible volume</x:v>
      </x:c>
      <x:c r="C31" s="15" t="n">
        <x:v>0.75</x:v>
      </x:c>
      <x:c r="D31" s="10" t="str">
        <x:v>Share of workflow volume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9" customHeight="1">
      <x:c r="A32" s="2"/>
      <x:c r="B32" s="10" t="str">
        <x:v>Annual contractor hours avoided</x:v>
      </x:c>
      <x:c r="C32" s="13" t="n">
        <x:v>200</x:v>
      </x:c>
      <x:c r="D32" s="10" t="str">
        <x:v>Part of released hours, not extra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9" customHeight="1">
      <x:c r="A33" s="2"/>
      <x:c r="B33" s="10" t="str">
        <x:v>Avoided contractor rate</x:v>
      </x:c>
      <x:c r="C33" s="16" t="n">
        <x:v>120</x:v>
      </x:c>
      <x:c r="D33" s="10" t="str">
        <x:v>GBP / hour; expense must be removable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9" customHeight="1">
      <x:c r="A34" s="2"/>
      <x:c r="B34" s="10" t="str">
        <x:v>Loaded internal hourly rate</x:v>
      </x:c>
      <x:c r="C34" s="16" t="n">
        <x:v>60</x:v>
      </x:c>
      <x:c r="D34" s="10" t="str">
        <x:v>GBP / hour; opportunity value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9" customHeight="1">
      <x:c r="A35" s="2"/>
      <x:c r="B35" s="10" t="str">
        <x:v>First benefit month</x:v>
      </x:c>
      <x:c r="C35" s="13" t="n">
        <x:v>4</x:v>
      </x:c>
      <x:c r="D35" s="10" t="str">
        <x:v>1 to 36; month 0 is investment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9" customHeight="1">
      <x:c r="A36" s="2"/>
      <x:c r="B36" s="10" t="str">
        <x:v>Ramp months</x:v>
      </x:c>
      <x:c r="C36" s="13" t="n">
        <x:v>2</x:v>
      </x:c>
      <x:c r="D36" s="10" t="str">
        <x:v>At ramp factor before full benefit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9" customHeight="1">
      <x:c r="A37" s="2"/>
      <x:c r="B37" s="10" t="str">
        <x:v>Ramp factor</x:v>
      </x:c>
      <x:c r="C37" s="15" t="n">
        <x:v>0.5</x:v>
      </x:c>
      <x:c r="D37" s="10" t="str">
        <x:v>Share of full benefit during ramp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9" customHeight="1">
      <x:c r="A38" s="2"/>
      <x:c r="B38" s="10" t="str">
        <x:v>External programme fee</x:v>
      </x:c>
      <x:c r="C38" s="16" t="n">
        <x:v>18000</x:v>
      </x:c>
      <x:c r="D38" s="10" t="str">
        <x:v>GBP; illustrative, not a quote</x:v>
      </x:c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9" customHeight="1">
      <x:c r="A39" s="2"/>
      <x:c r="B39" s="10" t="str">
        <x:v>One-off setup cash cost</x:v>
      </x:c>
      <x:c r="C39" s="16" t="n">
        <x:v>2000</x:v>
      </x:c>
      <x:c r="D39" s="10" t="str">
        <x:v>GBP</x:v>
      </x:c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9" customHeight="1">
      <x:c r="A40" s="2"/>
      <x:c r="B40" s="10" t="str">
        <x:v>Participant workshop hours</x:v>
      </x:c>
      <x:c r="C40" s="13" t="n">
        <x:v>216</x:v>
      </x:c>
      <x:c r="D40" s="10" t="str">
        <x:v>27 hours × 8 people assumption</x:v>
      </x:c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9" customHeight="1">
      <x:c r="A41" s="2"/>
      <x:c r="B41" s="10" t="str">
        <x:v>Preparation and trial setup hours</x:v>
      </x:c>
      <x:c r="C41" s="13" t="n">
        <x:v>40</x:v>
      </x:c>
      <x:c r="D41" s="10" t="str">
        <x:v>Additional internal hours</x:v>
      </x:c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9" customHeight="1">
      <x:c r="A42" s="2"/>
      <x:c r="B42" s="10" t="str">
        <x:v>Monthly incremental tool cost</x:v>
      </x:c>
      <x:c r="C42" s="16" t="n">
        <x:v>150</x:v>
      </x:c>
      <x:c r="D42" s="10" t="str">
        <x:v>GBP; incremental licences only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9" customHeight="1">
      <x:c r="A43" s="2"/>
      <x:c r="B43" s="10" t="str">
        <x:v>Monthly ongoing external support</x:v>
      </x:c>
      <x:c r="C43" s="16" t="n">
        <x:v>300</x:v>
      </x:c>
      <x:c r="D43" s="10" t="str">
        <x:v>GBP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9" customHeight="1">
      <x:c r="A44" s="2"/>
      <x:c r="B44" s="10" t="str">
        <x:v>Annual programme admin hours</x:v>
      </x:c>
      <x:c r="C44" s="13" t="n">
        <x:v>24</x:v>
      </x:c>
      <x:c r="D44" s="10" t="str">
        <x:v>Additional to task checking / upkeep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9" customHeight="1">
      <x:c r="A45" s="2"/>
      <x:c r="B45" s="10" t="str">
        <x:v>Annual discount rate</x:v>
      </x:c>
      <x:c r="C45" s="15" t="n">
        <x:v>0.1</x:v>
      </x:c>
      <x:c r="D45" s="10" t="str">
        <x:v>CFO-approved rate required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9" customHeight="1">
      <x:c r="A46" s="2"/>
      <x:c r="B46" s="10" t="str">
        <x:v>First-year cash ROI hurdle</x:v>
      </x:c>
      <x:c r="C46" s="15" t="n">
        <x:v>0.25</x:v>
      </x:c>
      <x:c r="D46" s="10" t="str">
        <x:v>Illustrative sponsor threshold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9" customHeight="1">
      <x:c r="A47" s="2"/>
      <x:c r="B47" s="10" t="str">
        <x:v>Maximum cash payback</x:v>
      </x:c>
      <x:c r="C47" s="13" t="n">
        <x:v>24</x:v>
      </x:c>
      <x:c r="D47" s="10" t="str">
        <x:v>Months; illustrative threshold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42" customHeight="1">
      <x:c r="A49" s="2"/>
      <x:c r="B49" s="10" t="str">
        <x:v>Value policy</x:v>
      </x:c>
      <x:c r="C49" s="10" t="str">
        <x:v>No double count</x:v>
      </x:c>
      <x:c r="D49" s="10" t="str">
        <x:v>Contractor hours come out of released capacity; only remaining hours receive a non-cash value.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42" customHeight="1">
      <x:c r="A50" s="2"/>
      <x:c r="B50" s="10" t="str">
        <x:v>Source and exclusions</x:v>
      </x:c>
      <x:c r="C50" s="10" t="str">
        <x:v>Illustrative inputs</x:v>
      </x:c>
      <x:c r="D50" s="10" t="str">
        <x:v>No tax, working-capital release, price uplift or speculative risk benefit is included in cash ROI.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30" customHeight="1">
      <x:c r="A52" s="2"/>
      <x:c r="B52" s="9" t="str">
        <x:v>Month</x:v>
      </x:c>
      <x:c r="C52" s="9" t="str">
        <x:v>Benefit factor</x:v>
      </x:c>
      <x:c r="D52" s="9" t="str">
        <x:v>Cash benefit</x:v>
      </x:c>
      <x:c r="E52" s="9" t="str">
        <x:v>Cash cost</x:v>
      </x:c>
      <x:c r="F52" s="9" t="str">
        <x:v>Net cash</x:v>
      </x:c>
      <x:c r="G52" s="9" t="str">
        <x:v>Cumulative cash</x:v>
      </x:c>
      <x:c r="H52" s="9" t="str">
        <x:v>Discounted cash</x:v>
      </x:c>
      <x:c r="I52" s="9" t="str">
        <x:v>Payback point</x:v>
      </x:c>
      <x:c r="J52" s="9" t="str">
        <x:v>Non-cash capacity</x:v>
      </x:c>
      <x:c r="K52" s="9" t="str">
        <x:v>Internal admin</x:v>
      </x:c>
      <x:c r="L52" s="2"/>
      <x:c r="M52" s="2"/>
      <x:c r="N52" s="2"/>
      <x:c r="O52" s="2"/>
      <x:c r="P52" s="2"/>
    </x:row>
    <x:row r="53" ht="23" customHeight="1">
      <x:c r="A53" s="2"/>
      <x:c r="B53" s="2" t="n">
        <x:v>0</x:v>
      </x:c>
      <x:c r="C53" s="21" t="n">
        <x:f>IF($C$23&lt;&gt;"Valid","Input required",0)</x:f>
        <x:v>0</x:v>
      </x:c>
      <x:c r="D53" s="18" t="n">
        <x:f>IF($C$23&lt;&gt;"Valid","Input required",0)</x:f>
        <x:v>0</x:v>
      </x:c>
      <x:c r="E53" s="18" t="n">
        <x:f>IF($C$23&lt;&gt;"Valid","Input required",$C$10)</x:f>
        <x:v>20000</x:v>
      </x:c>
      <x:c r="F53" s="18" t="n">
        <x:f>IF($C$23&lt;&gt;"Valid","Input required",D53-E53)</x:f>
        <x:v>-20000</x:v>
      </x:c>
      <x:c r="G53" s="18" t="n">
        <x:f>IF($C$23&lt;&gt;"Valid","Input required",F53)</x:f>
        <x:v>-20000</x:v>
      </x:c>
      <x:c r="H53" s="18" t="n">
        <x:f>IF($C$23&lt;&gt;"Valid","Input required",F53/(1+$C$45)^(B53/12))</x:f>
        <x:v>-20000</x:v>
      </x:c>
      <x:c r="I53" s="22" t="n">
        <x:f>IF($C$23&lt;&gt;"Valid","Input required",0)</x:f>
        <x:v>0</x:v>
      </x:c>
      <x:c r="J53" s="18" t="n">
        <x:f>IF($C$23&lt;&gt;"Valid","Input required",0)</x:f>
        <x:v>0</x:v>
      </x:c>
      <x:c r="K53" s="18" t="n">
        <x:f>IF($C$23&lt;&gt;"Valid","Input required",$C$11)</x:f>
        <x:v>15360</x:v>
      </x:c>
      <x:c r="L53" s="2"/>
      <x:c r="M53" s="2"/>
      <x:c r="N53" s="2"/>
      <x:c r="O53" s="2"/>
      <x:c r="P53" s="2"/>
    </x:row>
    <x:row r="54" ht="23" customHeight="1">
      <x:c r="A54" s="2"/>
      <x:c r="B54" s="2" t="n">
        <x:v>1</x:v>
      </x:c>
      <x:c r="C54" s="21" t="n">
        <x:f>IF($C$23&lt;&gt;"Valid","Input required",IF(B54&lt;$C$35,0,IF(B54&lt;$C$35+$C$36,$C$37,1)))</x:f>
        <x:v>0</x:v>
      </x:c>
      <x:c r="D54" s="18" t="n">
        <x:f>IF($C$23&lt;&gt;"Valid","Input required",$C$8/12*C54)</x:f>
        <x:v>0</x:v>
      </x:c>
      <x:c r="E54" s="18" t="n">
        <x:f>IF($C$23&lt;&gt;"Valid","Input required",$C$12/12)</x:f>
        <x:v>450</x:v>
      </x:c>
      <x:c r="F54" s="18" t="n">
        <x:f>IF($C$23&lt;&gt;"Valid","Input required",D54-E54)</x:f>
        <x:v>-450</x:v>
      </x:c>
      <x:c r="G54" s="18" t="n">
        <x:f>IF($C$23&lt;&gt;"Valid","Input required",G53+F54)</x:f>
        <x:v>-20450</x:v>
      </x:c>
      <x:c r="H54" s="18" t="n">
        <x:f>IF($C$23&lt;&gt;"Valid","Input required",F54/(1+$C$45)^(B54/12))</x:f>
        <x:v>-446.44002455114594</x:v>
      </x:c>
      <x:c r="I54" s="22" t="n">
        <x:f>IF($C$23&lt;&gt;"Valid","Input required",IF(AND(G53&lt;0,G54&gt;=0),B54-1-G53/F54,0))</x:f>
        <x:v>0</x:v>
      </x:c>
      <x:c r="J54" s="18" t="n">
        <x:f>IF($C$23&lt;&gt;"Valid","Input required",$C$9/12*C54)</x:f>
        <x:v>0</x:v>
      </x:c>
      <x:c r="K54" s="18" t="n">
        <x:f>IF($C$23&lt;&gt;"Valid","Input required",$C$13/12)</x:f>
        <x:v>120</x:v>
      </x:c>
      <x:c r="L54" s="2"/>
      <x:c r="M54" s="2"/>
      <x:c r="N54" s="2"/>
      <x:c r="O54" s="2"/>
      <x:c r="P54" s="2"/>
    </x:row>
    <x:row r="55" ht="23" customHeight="1">
      <x:c r="A55" s="2"/>
      <x:c r="B55" s="2" t="n">
        <x:v>2</x:v>
      </x:c>
      <x:c r="C55" s="21" t="n">
        <x:f>IF($C$23&lt;&gt;"Valid","Input required",IF(B55&lt;$C$35,0,IF(B55&lt;$C$35+$C$36,$C$37,1)))</x:f>
        <x:v>0</x:v>
      </x:c>
      <x:c r="D55" s="18" t="n">
        <x:f>IF($C$23&lt;&gt;"Valid","Input required",$C$8/12*C55)</x:f>
        <x:v>0</x:v>
      </x:c>
      <x:c r="E55" s="18" t="n">
        <x:f>IF($C$23&lt;&gt;"Valid","Input required",$C$12/12)</x:f>
        <x:v>450</x:v>
      </x:c>
      <x:c r="F55" s="18" t="n">
        <x:f>IF($C$23&lt;&gt;"Valid","Input required",D55-E55)</x:f>
        <x:v>-450</x:v>
      </x:c>
      <x:c r="G55" s="18" t="n">
        <x:f>IF($C$23&lt;&gt;"Valid","Input required",G54+F55)</x:f>
        <x:v>-20900</x:v>
      </x:c>
      <x:c r="H55" s="18" t="n">
        <x:f>IF($C$23&lt;&gt;"Valid","Input required",F55/(1+$C$45)^(B55/12))</x:f>
        <x:v>-442.90821226939505</x:v>
      </x:c>
      <x:c r="I55" s="22" t="n">
        <x:f>IF($C$23&lt;&gt;"Valid","Input required",IF(AND(G54&lt;0,G55&gt;=0),B55-1-G54/F55,0))</x:f>
        <x:v>0</x:v>
      </x:c>
      <x:c r="J55" s="18" t="n">
        <x:f>IF($C$23&lt;&gt;"Valid","Input required",$C$9/12*C55)</x:f>
        <x:v>0</x:v>
      </x:c>
      <x:c r="K55" s="18" t="n">
        <x:f>IF($C$23&lt;&gt;"Valid","Input required",$C$13/12)</x:f>
        <x:v>120</x:v>
      </x:c>
      <x:c r="L55" s="2"/>
      <x:c r="M55" s="2"/>
      <x:c r="N55" s="2"/>
      <x:c r="O55" s="2"/>
      <x:c r="P55" s="2"/>
    </x:row>
    <x:row r="56" ht="23" customHeight="1">
      <x:c r="A56" s="2"/>
      <x:c r="B56" s="2" t="n">
        <x:v>3</x:v>
      </x:c>
      <x:c r="C56" s="21" t="n">
        <x:f>IF($C$23&lt;&gt;"Valid","Input required",IF(B56&lt;$C$35,0,IF(B56&lt;$C$35+$C$36,$C$37,1)))</x:f>
        <x:v>0</x:v>
      </x:c>
      <x:c r="D56" s="18" t="n">
        <x:f>IF($C$23&lt;&gt;"Valid","Input required",$C$8/12*C56)</x:f>
        <x:v>0</x:v>
      </x:c>
      <x:c r="E56" s="18" t="n">
        <x:f>IF($C$23&lt;&gt;"Valid","Input required",$C$12/12)</x:f>
        <x:v>450</x:v>
      </x:c>
      <x:c r="F56" s="18" t="n">
        <x:f>IF($C$23&lt;&gt;"Valid","Input required",D56-E56)</x:f>
        <x:v>-450</x:v>
      </x:c>
      <x:c r="G56" s="18" t="n">
        <x:f>IF($C$23&lt;&gt;"Valid","Input required",G55+F56)</x:f>
        <x:v>-21350</x:v>
      </x:c>
      <x:c r="H56" s="18" t="n">
        <x:f>IF($C$23&lt;&gt;"Valid","Input required",F56/(1+$C$45)^(B56/12))</x:f>
        <x:v>-439.40434035433975</x:v>
      </x:c>
      <x:c r="I56" s="22" t="n">
        <x:f>IF($C$23&lt;&gt;"Valid","Input required",IF(AND(G55&lt;0,G56&gt;=0),B56-1-G55/F56,0))</x:f>
        <x:v>0</x:v>
      </x:c>
      <x:c r="J56" s="18" t="n">
        <x:f>IF($C$23&lt;&gt;"Valid","Input required",$C$9/12*C56)</x:f>
        <x:v>0</x:v>
      </x:c>
      <x:c r="K56" s="18" t="n">
        <x:f>IF($C$23&lt;&gt;"Valid","Input required",$C$13/12)</x:f>
        <x:v>120</x:v>
      </x:c>
      <x:c r="L56" s="2"/>
      <x:c r="M56" s="2"/>
      <x:c r="N56" s="2"/>
      <x:c r="O56" s="2"/>
      <x:c r="P56" s="2"/>
    </x:row>
    <x:row r="57" ht="23" customHeight="1">
      <x:c r="A57" s="2"/>
      <x:c r="B57" s="2" t="n">
        <x:v>4</x:v>
      </x:c>
      <x:c r="C57" s="21" t="n">
        <x:f>IF($C$23&lt;&gt;"Valid","Input required",IF(B57&lt;$C$35,0,IF(B57&lt;$C$35+$C$36,$C$37,1)))</x:f>
        <x:v>0.5</x:v>
      </x:c>
      <x:c r="D57" s="18" t="n">
        <x:f>IF($C$23&lt;&gt;"Valid","Input required",$C$8/12*C57)</x:f>
        <x:v>1000</x:v>
      </x:c>
      <x:c r="E57" s="18" t="n">
        <x:f>IF($C$23&lt;&gt;"Valid","Input required",$C$12/12)</x:f>
        <x:v>450</x:v>
      </x:c>
      <x:c r="F57" s="18" t="n">
        <x:f>IF($C$23&lt;&gt;"Valid","Input required",D57-E57)</x:f>
        <x:v>550</x:v>
      </x:c>
      <x:c r="G57" s="18" t="n">
        <x:f>IF($C$23&lt;&gt;"Valid","Input required",G56+F57)</x:f>
        <x:v>-20800</x:v>
      </x:c>
      <x:c r="H57" s="18" t="n">
        <x:f>IF($C$23&lt;&gt;"Valid","Input required",F57/(1+$C$45)^(B57/12))</x:f>
        <x:v>532.8011183833054</x:v>
      </x:c>
      <x:c r="I57" s="22" t="n">
        <x:f>IF($C$23&lt;&gt;"Valid","Input required",IF(AND(G56&lt;0,G57&gt;=0),B57-1-G56/F57,0))</x:f>
        <x:v>0</x:v>
      </x:c>
      <x:c r="J57" s="18" t="n">
        <x:f>IF($C$23&lt;&gt;"Valid","Input required",$C$9/12*C57)</x:f>
        <x:v>1525</x:v>
      </x:c>
      <x:c r="K57" s="18" t="n">
        <x:f>IF($C$23&lt;&gt;"Valid","Input required",$C$13/12)</x:f>
        <x:v>120</x:v>
      </x:c>
      <x:c r="L57" s="2"/>
      <x:c r="M57" s="2"/>
      <x:c r="N57" s="2"/>
      <x:c r="O57" s="2"/>
      <x:c r="P57" s="2"/>
    </x:row>
    <x:row r="58" ht="23" customHeight="1">
      <x:c r="A58" s="2"/>
      <x:c r="B58" s="2" t="n">
        <x:v>5</x:v>
      </x:c>
      <x:c r="C58" s="21" t="n">
        <x:f>IF($C$23&lt;&gt;"Valid","Input required",IF(B58&lt;$C$35,0,IF(B58&lt;$C$35+$C$36,$C$37,1)))</x:f>
        <x:v>0.5</x:v>
      </x:c>
      <x:c r="D58" s="18" t="n">
        <x:f>IF($C$23&lt;&gt;"Valid","Input required",$C$8/12*C58)</x:f>
        <x:v>1000</x:v>
      </x:c>
      <x:c r="E58" s="18" t="n">
        <x:f>IF($C$23&lt;&gt;"Valid","Input required",$C$12/12)</x:f>
        <x:v>450</x:v>
      </x:c>
      <x:c r="F58" s="18" t="n">
        <x:f>IF($C$23&lt;&gt;"Valid","Input required",D58-E58)</x:f>
        <x:v>550</x:v>
      </x:c>
      <x:c r="G58" s="18" t="n">
        <x:f>IF($C$23&lt;&gt;"Valid","Input required",G57+F58)</x:f>
        <x:v>-20250</x:v>
      </x:c>
      <x:c r="H58" s="18" t="n">
        <x:f>IF($C$23&lt;&gt;"Valid","Input required",F58/(1+$C$45)^(B58/12))</x:f>
        <x:v>528.5860986042686</x:v>
      </x:c>
      <x:c r="I58" s="22" t="n">
        <x:f>IF($C$23&lt;&gt;"Valid","Input required",IF(AND(G57&lt;0,G58&gt;=0),B58-1-G57/F58,0))</x:f>
        <x:v>0</x:v>
      </x:c>
      <x:c r="J58" s="18" t="n">
        <x:f>IF($C$23&lt;&gt;"Valid","Input required",$C$9/12*C58)</x:f>
        <x:v>1525</x:v>
      </x:c>
      <x:c r="K58" s="18" t="n">
        <x:f>IF($C$23&lt;&gt;"Valid","Input required",$C$13/12)</x:f>
        <x:v>120</x:v>
      </x:c>
      <x:c r="L58" s="2"/>
      <x:c r="M58" s="2"/>
      <x:c r="N58" s="2"/>
      <x:c r="O58" s="2"/>
      <x:c r="P58" s="2"/>
    </x:row>
    <x:row r="59" ht="23" customHeight="1">
      <x:c r="A59" s="2"/>
      <x:c r="B59" s="2" t="n">
        <x:v>6</x:v>
      </x:c>
      <x:c r="C59" s="21" t="n">
        <x:f>IF($C$23&lt;&gt;"Valid","Input required",IF(B59&lt;$C$35,0,IF(B59&lt;$C$35+$C$36,$C$37,1)))</x:f>
        <x:v>1</x:v>
      </x:c>
      <x:c r="D59" s="18" t="n">
        <x:f>IF($C$23&lt;&gt;"Valid","Input required",$C$8/12*C59)</x:f>
        <x:v>2000</x:v>
      </x:c>
      <x:c r="E59" s="18" t="n">
        <x:f>IF($C$23&lt;&gt;"Valid","Input required",$C$12/12)</x:f>
        <x:v>450</x:v>
      </x:c>
      <x:c r="F59" s="18" t="n">
        <x:f>IF($C$23&lt;&gt;"Valid","Input required",D59-E59)</x:f>
        <x:v>1550</x:v>
      </x:c>
      <x:c r="G59" s="18" t="n">
        <x:f>IF($C$23&lt;&gt;"Valid","Input required",G58+F59)</x:f>
        <x:v>-18700</x:v>
      </x:c>
      <x:c r="H59" s="18" t="n">
        <x:f>IF($C$23&lt;&gt;"Valid","Input required",F59/(1+$C$45)^(B59/12))</x:f>
        <x:v>1477.867013330668</x:v>
      </x:c>
      <x:c r="I59" s="22" t="n">
        <x:f>IF($C$23&lt;&gt;"Valid","Input required",IF(AND(G58&lt;0,G59&gt;=0),B59-1-G58/F59,0))</x:f>
        <x:v>0</x:v>
      </x:c>
      <x:c r="J59" s="18" t="n">
        <x:f>IF($C$23&lt;&gt;"Valid","Input required",$C$9/12*C59)</x:f>
        <x:v>3050</x:v>
      </x:c>
      <x:c r="K59" s="18" t="n">
        <x:f>IF($C$23&lt;&gt;"Valid","Input required",$C$13/12)</x:f>
        <x:v>120</x:v>
      </x:c>
      <x:c r="L59" s="2"/>
      <x:c r="M59" s="2"/>
      <x:c r="N59" s="2"/>
      <x:c r="O59" s="2"/>
      <x:c r="P59" s="2"/>
    </x:row>
    <x:row r="60" ht="23" customHeight="1">
      <x:c r="A60" s="2"/>
      <x:c r="B60" s="2" t="n">
        <x:v>7</x:v>
      </x:c>
      <x:c r="C60" s="21" t="n">
        <x:f>IF($C$23&lt;&gt;"Valid","Input required",IF(B60&lt;$C$35,0,IF(B60&lt;$C$35+$C$36,$C$37,1)))</x:f>
        <x:v>1</x:v>
      </x:c>
      <x:c r="D60" s="18" t="n">
        <x:f>IF($C$23&lt;&gt;"Valid","Input required",$C$8/12*C60)</x:f>
        <x:v>2000</x:v>
      </x:c>
      <x:c r="E60" s="18" t="n">
        <x:f>IF($C$23&lt;&gt;"Valid","Input required",$C$12/12)</x:f>
        <x:v>450</x:v>
      </x:c>
      <x:c r="F60" s="18" t="n">
        <x:f>IF($C$23&lt;&gt;"Valid","Input required",D60-E60)</x:f>
        <x:v>1550</x:v>
      </x:c>
      <x:c r="G60" s="18" t="n">
        <x:f>IF($C$23&lt;&gt;"Valid","Input required",G59+F60)</x:f>
        <x:v>-17150</x:v>
      </x:c>
      <x:c r="H60" s="18" t="n">
        <x:f>IF($C$23&lt;&gt;"Valid","Input required",F60/(1+$C$45)^(B60/12))</x:f>
        <x:v>1466.1755238103824</x:v>
      </x:c>
      <x:c r="I60" s="22" t="n">
        <x:f>IF($C$23&lt;&gt;"Valid","Input required",IF(AND(G59&lt;0,G60&gt;=0),B60-1-G59/F60,0))</x:f>
        <x:v>0</x:v>
      </x:c>
      <x:c r="J60" s="18" t="n">
        <x:f>IF($C$23&lt;&gt;"Valid","Input required",$C$9/12*C60)</x:f>
        <x:v>3050</x:v>
      </x:c>
      <x:c r="K60" s="18" t="n">
        <x:f>IF($C$23&lt;&gt;"Valid","Input required",$C$13/12)</x:f>
        <x:v>120</x:v>
      </x:c>
      <x:c r="L60" s="2"/>
      <x:c r="M60" s="2"/>
      <x:c r="N60" s="2"/>
      <x:c r="O60" s="2"/>
      <x:c r="P60" s="2"/>
    </x:row>
    <x:row r="61" ht="23" customHeight="1">
      <x:c r="A61" s="2"/>
      <x:c r="B61" s="2" t="n">
        <x:v>8</x:v>
      </x:c>
      <x:c r="C61" s="21" t="n">
        <x:f>IF($C$23&lt;&gt;"Valid","Input required",IF(B61&lt;$C$35,0,IF(B61&lt;$C$35+$C$36,$C$37,1)))</x:f>
        <x:v>1</x:v>
      </x:c>
      <x:c r="D61" s="18" t="n">
        <x:f>IF($C$23&lt;&gt;"Valid","Input required",$C$8/12*C61)</x:f>
        <x:v>2000</x:v>
      </x:c>
      <x:c r="E61" s="18" t="n">
        <x:f>IF($C$23&lt;&gt;"Valid","Input required",$C$12/12)</x:f>
        <x:v>450</x:v>
      </x:c>
      <x:c r="F61" s="18" t="n">
        <x:f>IF($C$23&lt;&gt;"Valid","Input required",D61-E61)</x:f>
        <x:v>1550</x:v>
      </x:c>
      <x:c r="G61" s="18" t="n">
        <x:f>IF($C$23&lt;&gt;"Valid","Input required",G60+F61)</x:f>
        <x:v>-15600</x:v>
      </x:c>
      <x:c r="H61" s="18" t="n">
        <x:f>IF($C$23&lt;&gt;"Valid","Input required",F61/(1+$C$45)^(B61/12))</x:f>
        <x:v>1454.5765263248811</x:v>
      </x:c>
      <x:c r="I61" s="22" t="n">
        <x:f>IF($C$23&lt;&gt;"Valid","Input required",IF(AND(G60&lt;0,G61&gt;=0),B61-1-G60/F61,0))</x:f>
        <x:v>0</x:v>
      </x:c>
      <x:c r="J61" s="18" t="n">
        <x:f>IF($C$23&lt;&gt;"Valid","Input required",$C$9/12*C61)</x:f>
        <x:v>3050</x:v>
      </x:c>
      <x:c r="K61" s="18" t="n">
        <x:f>IF($C$23&lt;&gt;"Valid","Input required",$C$13/12)</x:f>
        <x:v>120</x:v>
      </x:c>
      <x:c r="L61" s="2"/>
      <x:c r="M61" s="2"/>
      <x:c r="N61" s="2"/>
      <x:c r="O61" s="2"/>
      <x:c r="P61" s="2"/>
    </x:row>
    <x:row r="62" ht="23" customHeight="1">
      <x:c r="A62" s="2"/>
      <x:c r="B62" s="2" t="n">
        <x:v>9</x:v>
      </x:c>
      <x:c r="C62" s="21" t="n">
        <x:f>IF($C$23&lt;&gt;"Valid","Input required",IF(B62&lt;$C$35,0,IF(B62&lt;$C$35+$C$36,$C$37,1)))</x:f>
        <x:v>1</x:v>
      </x:c>
      <x:c r="D62" s="18" t="n">
        <x:f>IF($C$23&lt;&gt;"Valid","Input required",$C$8/12*C62)</x:f>
        <x:v>2000</x:v>
      </x:c>
      <x:c r="E62" s="18" t="n">
        <x:f>IF($C$23&lt;&gt;"Valid","Input required",$C$12/12)</x:f>
        <x:v>450</x:v>
      </x:c>
      <x:c r="F62" s="18" t="n">
        <x:f>IF($C$23&lt;&gt;"Valid","Input required",D62-E62)</x:f>
        <x:v>1550</x:v>
      </x:c>
      <x:c r="G62" s="18" t="n">
        <x:f>IF($C$23&lt;&gt;"Valid","Input required",G61+F62)</x:f>
        <x:v>-14050</x:v>
      </x:c>
      <x:c r="H62" s="18" t="n">
        <x:f>IF($C$23&lt;&gt;"Valid","Input required",F62/(1+$C$45)^(B62/12))</x:f>
        <x:v>1443.0692891644453</x:v>
      </x:c>
      <x:c r="I62" s="22" t="n">
        <x:f>IF($C$23&lt;&gt;"Valid","Input required",IF(AND(G61&lt;0,G62&gt;=0),B62-1-G61/F62,0))</x:f>
        <x:v>0</x:v>
      </x:c>
      <x:c r="J62" s="18" t="n">
        <x:f>IF($C$23&lt;&gt;"Valid","Input required",$C$9/12*C62)</x:f>
        <x:v>3050</x:v>
      </x:c>
      <x:c r="K62" s="18" t="n">
        <x:f>IF($C$23&lt;&gt;"Valid","Input required",$C$13/12)</x:f>
        <x:v>120</x:v>
      </x:c>
      <x:c r="L62" s="2"/>
      <x:c r="M62" s="2"/>
      <x:c r="N62" s="2"/>
      <x:c r="O62" s="2"/>
      <x:c r="P62" s="2"/>
    </x:row>
    <x:row r="63" ht="23" customHeight="1">
      <x:c r="A63" s="2"/>
      <x:c r="B63" s="2" t="n">
        <x:v>10</x:v>
      </x:c>
      <x:c r="C63" s="21" t="n">
        <x:f>IF($C$23&lt;&gt;"Valid","Input required",IF(B63&lt;$C$35,0,IF(B63&lt;$C$35+$C$36,$C$37,1)))</x:f>
        <x:v>1</x:v>
      </x:c>
      <x:c r="D63" s="18" t="n">
        <x:f>IF($C$23&lt;&gt;"Valid","Input required",$C$8/12*C63)</x:f>
        <x:v>2000</x:v>
      </x:c>
      <x:c r="E63" s="18" t="n">
        <x:f>IF($C$23&lt;&gt;"Valid","Input required",$C$12/12)</x:f>
        <x:v>450</x:v>
      </x:c>
      <x:c r="F63" s="18" t="n">
        <x:f>IF($C$23&lt;&gt;"Valid","Input required",D63-E63)</x:f>
        <x:v>1550</x:v>
      </x:c>
      <x:c r="G63" s="18" t="n">
        <x:f>IF($C$23&lt;&gt;"Valid","Input required",G62+F63)</x:f>
        <x:v>-12500</x:v>
      </x:c>
      <x:c r="H63" s="18" t="n">
        <x:f>IF($C$23&lt;&gt;"Valid","Input required",F63/(1+$C$45)^(B63/12))</x:f>
        <x:v>1431.6530864079548</x:v>
      </x:c>
      <x:c r="I63" s="22" t="n">
        <x:f>IF($C$23&lt;&gt;"Valid","Input required",IF(AND(G62&lt;0,G63&gt;=0),B63-1-G62/F63,0))</x:f>
        <x:v>0</x:v>
      </x:c>
      <x:c r="J63" s="18" t="n">
        <x:f>IF($C$23&lt;&gt;"Valid","Input required",$C$9/12*C63)</x:f>
        <x:v>3050</x:v>
      </x:c>
      <x:c r="K63" s="18" t="n">
        <x:f>IF($C$23&lt;&gt;"Valid","Input required",$C$13/12)</x:f>
        <x:v>120</x:v>
      </x:c>
      <x:c r="L63" s="2"/>
      <x:c r="M63" s="2"/>
      <x:c r="N63" s="2"/>
      <x:c r="O63" s="2"/>
      <x:c r="P63" s="2"/>
    </x:row>
    <x:row r="64" ht="23" customHeight="1">
      <x:c r="A64" s="2"/>
      <x:c r="B64" s="2" t="n">
        <x:v>11</x:v>
      </x:c>
      <x:c r="C64" s="21" t="n">
        <x:f>IF($C$23&lt;&gt;"Valid","Input required",IF(B64&lt;$C$35,0,IF(B64&lt;$C$35+$C$36,$C$37,1)))</x:f>
        <x:v>1</x:v>
      </x:c>
      <x:c r="D64" s="18" t="n">
        <x:f>IF($C$23&lt;&gt;"Valid","Input required",$C$8/12*C64)</x:f>
        <x:v>2000</x:v>
      </x:c>
      <x:c r="E64" s="18" t="n">
        <x:f>IF($C$23&lt;&gt;"Valid","Input required",$C$12/12)</x:f>
        <x:v>450</x:v>
      </x:c>
      <x:c r="F64" s="18" t="n">
        <x:f>IF($C$23&lt;&gt;"Valid","Input required",D64-E64)</x:f>
        <x:v>1550</x:v>
      </x:c>
      <x:c r="G64" s="18" t="n">
        <x:f>IF($C$23&lt;&gt;"Valid","Input required",G63+F64)</x:f>
        <x:v>-10950</x:v>
      </x:c>
      <x:c r="H64" s="18" t="n">
        <x:f>IF($C$23&lt;&gt;"Valid","Input required",F64/(1+$C$45)^(B64/12))</x:f>
        <x:v>1420.3271978770915</x:v>
      </x:c>
      <x:c r="I64" s="22" t="n">
        <x:f>IF($C$23&lt;&gt;"Valid","Input required",IF(AND(G63&lt;0,G64&gt;=0),B64-1-G63/F64,0))</x:f>
        <x:v>0</x:v>
      </x:c>
      <x:c r="J64" s="18" t="n">
        <x:f>IF($C$23&lt;&gt;"Valid","Input required",$C$9/12*C64)</x:f>
        <x:v>3050</x:v>
      </x:c>
      <x:c r="K64" s="18" t="n">
        <x:f>IF($C$23&lt;&gt;"Valid","Input required",$C$13/12)</x:f>
        <x:v>120</x:v>
      </x:c>
      <x:c r="L64" s="2"/>
      <x:c r="M64" s="2"/>
      <x:c r="N64" s="2"/>
      <x:c r="O64" s="2"/>
      <x:c r="P64" s="2"/>
    </x:row>
    <x:row r="65" ht="23" customHeight="1">
      <x:c r="A65" s="2"/>
      <x:c r="B65" s="2" t="n">
        <x:v>12</x:v>
      </x:c>
      <x:c r="C65" s="21" t="n">
        <x:f>IF($C$23&lt;&gt;"Valid","Input required",IF(B65&lt;$C$35,0,IF(B65&lt;$C$35+$C$36,$C$37,1)))</x:f>
        <x:v>1</x:v>
      </x:c>
      <x:c r="D65" s="18" t="n">
        <x:f>IF($C$23&lt;&gt;"Valid","Input required",$C$8/12*C65)</x:f>
        <x:v>2000</x:v>
      </x:c>
      <x:c r="E65" s="18" t="n">
        <x:f>IF($C$23&lt;&gt;"Valid","Input required",$C$12/12)</x:f>
        <x:v>450</x:v>
      </x:c>
      <x:c r="F65" s="18" t="n">
        <x:f>IF($C$23&lt;&gt;"Valid","Input required",D65-E65)</x:f>
        <x:v>1550</x:v>
      </x:c>
      <x:c r="G65" s="18" t="n">
        <x:f>IF($C$23&lt;&gt;"Valid","Input required",G64+F65)</x:f>
        <x:v>-9400</x:v>
      </x:c>
      <x:c r="H65" s="18" t="n">
        <x:f>IF($C$23&lt;&gt;"Valid","Input required",F65/(1+$C$45)^(B65/12))</x:f>
        <x:v>1409.090909090909</x:v>
      </x:c>
      <x:c r="I65" s="22" t="n">
        <x:f>IF($C$23&lt;&gt;"Valid","Input required",IF(AND(G64&lt;0,G65&gt;=0),B65-1-G64/F65,0))</x:f>
        <x:v>0</x:v>
      </x:c>
      <x:c r="J65" s="18" t="n">
        <x:f>IF($C$23&lt;&gt;"Valid","Input required",$C$9/12*C65)</x:f>
        <x:v>3050</x:v>
      </x:c>
      <x:c r="K65" s="18" t="n">
        <x:f>IF($C$23&lt;&gt;"Valid","Input required",$C$13/12)</x:f>
        <x:v>120</x:v>
      </x:c>
      <x:c r="L65" s="2"/>
      <x:c r="M65" s="2"/>
      <x:c r="N65" s="2"/>
      <x:c r="O65" s="2"/>
      <x:c r="P65" s="2"/>
    </x:row>
    <x:row r="66" ht="23" customHeight="1">
      <x:c r="A66" s="2"/>
      <x:c r="B66" s="2" t="n">
        <x:v>13</x:v>
      </x:c>
      <x:c r="C66" s="21" t="n">
        <x:f>IF($C$23&lt;&gt;"Valid","Input required",IF(B66&lt;$C$35,0,IF(B66&lt;$C$35+$C$36,$C$37,1)))</x:f>
        <x:v>1</x:v>
      </x:c>
      <x:c r="D66" s="18" t="n">
        <x:f>IF($C$23&lt;&gt;"Valid","Input required",$C$8/12*C66)</x:f>
        <x:v>2000</x:v>
      </x:c>
      <x:c r="E66" s="18" t="n">
        <x:f>IF($C$23&lt;&gt;"Valid","Input required",$C$12/12)</x:f>
        <x:v>450</x:v>
      </x:c>
      <x:c r="F66" s="18" t="n">
        <x:f>IF($C$23&lt;&gt;"Valid","Input required",D66-E66)</x:f>
        <x:v>1550</x:v>
      </x:c>
      <x:c r="G66" s="18" t="n">
        <x:f>IF($C$23&lt;&gt;"Valid","Input required",G65+F66)</x:f>
        <x:v>-7850</x:v>
      </x:c>
      <x:c r="H66" s="18" t="n">
        <x:f>IF($C$23&lt;&gt;"Valid","Input required",F66/(1+$C$45)^(B66/12))</x:f>
        <x:v>1397.9435112207598</x:v>
      </x:c>
      <x:c r="I66" s="22" t="n">
        <x:f>IF($C$23&lt;&gt;"Valid","Input required",IF(AND(G65&lt;0,G66&gt;=0),B66-1-G65/F66,0))</x:f>
        <x:v>0</x:v>
      </x:c>
      <x:c r="J66" s="18" t="n">
        <x:f>IF($C$23&lt;&gt;"Valid","Input required",$C$9/12*C66)</x:f>
        <x:v>3050</x:v>
      </x:c>
      <x:c r="K66" s="18" t="n">
        <x:f>IF($C$23&lt;&gt;"Valid","Input required",$C$13/12)</x:f>
        <x:v>120</x:v>
      </x:c>
      <x:c r="L66" s="2"/>
      <x:c r="M66" s="2"/>
      <x:c r="N66" s="2"/>
      <x:c r="O66" s="2"/>
      <x:c r="P66" s="2"/>
    </x:row>
    <x:row r="67" ht="23" customHeight="1">
      <x:c r="A67" s="2"/>
      <x:c r="B67" s="2" t="n">
        <x:v>14</x:v>
      </x:c>
      <x:c r="C67" s="21" t="n">
        <x:f>IF($C$23&lt;&gt;"Valid","Input required",IF(B67&lt;$C$35,0,IF(B67&lt;$C$35+$C$36,$C$37,1)))</x:f>
        <x:v>1</x:v>
      </x:c>
      <x:c r="D67" s="18" t="n">
        <x:f>IF($C$23&lt;&gt;"Valid","Input required",$C$8/12*C67)</x:f>
        <x:v>2000</x:v>
      </x:c>
      <x:c r="E67" s="18" t="n">
        <x:f>IF($C$23&lt;&gt;"Valid","Input required",$C$12/12)</x:f>
        <x:v>450</x:v>
      </x:c>
      <x:c r="F67" s="18" t="n">
        <x:f>IF($C$23&lt;&gt;"Valid","Input required",D67-E67)</x:f>
        <x:v>1550</x:v>
      </x:c>
      <x:c r="G67" s="18" t="n">
        <x:f>IF($C$23&lt;&gt;"Valid","Input required",G66+F67)</x:f>
        <x:v>-6300</x:v>
      </x:c>
      <x:c r="H67" s="18" t="n">
        <x:f>IF($C$23&lt;&gt;"Valid","Input required",F67/(1+$C$45)^(B67/12))</x:f>
        <x:v>1386.8843010455805</x:v>
      </x:c>
      <x:c r="I67" s="22" t="n">
        <x:f>IF($C$23&lt;&gt;"Valid","Input required",IF(AND(G66&lt;0,G67&gt;=0),B67-1-G66/F67,0))</x:f>
        <x:v>0</x:v>
      </x:c>
      <x:c r="J67" s="18" t="n">
        <x:f>IF($C$23&lt;&gt;"Valid","Input required",$C$9/12*C67)</x:f>
        <x:v>3050</x:v>
      </x:c>
      <x:c r="K67" s="18" t="n">
        <x:f>IF($C$23&lt;&gt;"Valid","Input required",$C$13/12)</x:f>
        <x:v>120</x:v>
      </x:c>
      <x:c r="L67" s="2"/>
      <x:c r="M67" s="2"/>
      <x:c r="N67" s="2"/>
      <x:c r="O67" s="2"/>
      <x:c r="P67" s="2"/>
    </x:row>
    <x:row r="68" ht="23" customHeight="1">
      <x:c r="A68" s="2"/>
      <x:c r="B68" s="2" t="n">
        <x:v>15</x:v>
      </x:c>
      <x:c r="C68" s="21" t="n">
        <x:f>IF($C$23&lt;&gt;"Valid","Input required",IF(B68&lt;$C$35,0,IF(B68&lt;$C$35+$C$36,$C$37,1)))</x:f>
        <x:v>1</x:v>
      </x:c>
      <x:c r="D68" s="18" t="n">
        <x:f>IF($C$23&lt;&gt;"Valid","Input required",$C$8/12*C68)</x:f>
        <x:v>2000</x:v>
      </x:c>
      <x:c r="E68" s="18" t="n">
        <x:f>IF($C$23&lt;&gt;"Valid","Input required",$C$12/12)</x:f>
        <x:v>450</x:v>
      </x:c>
      <x:c r="F68" s="18" t="n">
        <x:f>IF($C$23&lt;&gt;"Valid","Input required",D68-E68)</x:f>
        <x:v>1550</x:v>
      </x:c>
      <x:c r="G68" s="18" t="n">
        <x:f>IF($C$23&lt;&gt;"Valid","Input required",G67+F68)</x:f>
        <x:v>-4750</x:v>
      </x:c>
      <x:c r="H68" s="18" t="n">
        <x:f>IF($C$23&lt;&gt;"Valid","Input required",F68/(1+$C$45)^(B68/12))</x:f>
        <x:v>1375.9125809075283</x:v>
      </x:c>
      <x:c r="I68" s="22" t="n">
        <x:f>IF($C$23&lt;&gt;"Valid","Input required",IF(AND(G67&lt;0,G68&gt;=0),B68-1-G67/F68,0))</x:f>
        <x:v>0</x:v>
      </x:c>
      <x:c r="J68" s="18" t="n">
        <x:f>IF($C$23&lt;&gt;"Valid","Input required",$C$9/12*C68)</x:f>
        <x:v>3050</x:v>
      </x:c>
      <x:c r="K68" s="18" t="n">
        <x:f>IF($C$23&lt;&gt;"Valid","Input required",$C$13/12)</x:f>
        <x:v>120</x:v>
      </x:c>
      <x:c r="L68" s="2"/>
      <x:c r="M68" s="2"/>
      <x:c r="N68" s="2"/>
      <x:c r="O68" s="2"/>
      <x:c r="P68" s="2"/>
    </x:row>
    <x:row r="69" ht="23" customHeight="1">
      <x:c r="A69" s="2"/>
      <x:c r="B69" s="2" t="n">
        <x:v>16</x:v>
      </x:c>
      <x:c r="C69" s="21" t="n">
        <x:f>IF($C$23&lt;&gt;"Valid","Input required",IF(B69&lt;$C$35,0,IF(B69&lt;$C$35+$C$36,$C$37,1)))</x:f>
        <x:v>1</x:v>
      </x:c>
      <x:c r="D69" s="18" t="n">
        <x:f>IF($C$23&lt;&gt;"Valid","Input required",$C$8/12*C69)</x:f>
        <x:v>2000</x:v>
      </x:c>
      <x:c r="E69" s="18" t="n">
        <x:f>IF($C$23&lt;&gt;"Valid","Input required",$C$12/12)</x:f>
        <x:v>450</x:v>
      </x:c>
      <x:c r="F69" s="18" t="n">
        <x:f>IF($C$23&lt;&gt;"Valid","Input required",D69-E69)</x:f>
        <x:v>1550</x:v>
      </x:c>
      <x:c r="G69" s="18" t="n">
        <x:f>IF($C$23&lt;&gt;"Valid","Input required",G68+F69)</x:f>
        <x:v>-3200</x:v>
      </x:c>
      <x:c r="H69" s="18" t="n">
        <x:f>IF($C$23&lt;&gt;"Valid","Input required",F69/(1+$C$45)^(B69/12))</x:f>
        <x:v>1365.0276586679722</x:v>
      </x:c>
      <x:c r="I69" s="22" t="n">
        <x:f>IF($C$23&lt;&gt;"Valid","Input required",IF(AND(G68&lt;0,G69&gt;=0),B69-1-G68/F69,0))</x:f>
        <x:v>0</x:v>
      </x:c>
      <x:c r="J69" s="18" t="n">
        <x:f>IF($C$23&lt;&gt;"Valid","Input required",$C$9/12*C69)</x:f>
        <x:v>3050</x:v>
      </x:c>
      <x:c r="K69" s="18" t="n">
        <x:f>IF($C$23&lt;&gt;"Valid","Input required",$C$13/12)</x:f>
        <x:v>120</x:v>
      </x:c>
      <x:c r="L69" s="2"/>
      <x:c r="M69" s="2"/>
      <x:c r="N69" s="2"/>
      <x:c r="O69" s="2"/>
      <x:c r="P69" s="2"/>
    </x:row>
    <x:row r="70" ht="23" customHeight="1">
      <x:c r="A70" s="2"/>
      <x:c r="B70" s="2" t="n">
        <x:v>17</x:v>
      </x:c>
      <x:c r="C70" s="21" t="n">
        <x:f>IF($C$23&lt;&gt;"Valid","Input required",IF(B70&lt;$C$35,0,IF(B70&lt;$C$35+$C$36,$C$37,1)))</x:f>
        <x:v>1</x:v>
      </x:c>
      <x:c r="D70" s="18" t="n">
        <x:f>IF($C$23&lt;&gt;"Valid","Input required",$C$8/12*C70)</x:f>
        <x:v>2000</x:v>
      </x:c>
      <x:c r="E70" s="18" t="n">
        <x:f>IF($C$23&lt;&gt;"Valid","Input required",$C$12/12)</x:f>
        <x:v>450</x:v>
      </x:c>
      <x:c r="F70" s="18" t="n">
        <x:f>IF($C$23&lt;&gt;"Valid","Input required",D70-E70)</x:f>
        <x:v>1550</x:v>
      </x:c>
      <x:c r="G70" s="18" t="n">
        <x:f>IF($C$23&lt;&gt;"Valid","Input required",G69+F70)</x:f>
        <x:v>-1650</x:v>
      </x:c>
      <x:c r="H70" s="18" t="n">
        <x:f>IF($C$23&lt;&gt;"Valid","Input required",F70/(1+$C$45)^(B70/12))</x:f>
        <x:v>1354.2288476638284</x:v>
      </x:c>
      <x:c r="I70" s="22" t="n">
        <x:f>IF($C$23&lt;&gt;"Valid","Input required",IF(AND(G69&lt;0,G70&gt;=0),B70-1-G69/F70,0))</x:f>
        <x:v>0</x:v>
      </x:c>
      <x:c r="J70" s="18" t="n">
        <x:f>IF($C$23&lt;&gt;"Valid","Input required",$C$9/12*C70)</x:f>
        <x:v>3050</x:v>
      </x:c>
      <x:c r="K70" s="18" t="n">
        <x:f>IF($C$23&lt;&gt;"Valid","Input required",$C$13/12)</x:f>
        <x:v>120</x:v>
      </x:c>
      <x:c r="L70" s="2"/>
      <x:c r="M70" s="2"/>
      <x:c r="N70" s="2"/>
      <x:c r="O70" s="2"/>
      <x:c r="P70" s="2"/>
    </x:row>
    <x:row r="71" ht="23" customHeight="1">
      <x:c r="A71" s="2"/>
      <x:c r="B71" s="2" t="n">
        <x:v>18</x:v>
      </x:c>
      <x:c r="C71" s="21" t="n">
        <x:f>IF($C$23&lt;&gt;"Valid","Input required",IF(B71&lt;$C$35,0,IF(B71&lt;$C$35+$C$36,$C$37,1)))</x:f>
        <x:v>1</x:v>
      </x:c>
      <x:c r="D71" s="18" t="n">
        <x:f>IF($C$23&lt;&gt;"Valid","Input required",$C$8/12*C71)</x:f>
        <x:v>2000</x:v>
      </x:c>
      <x:c r="E71" s="18" t="n">
        <x:f>IF($C$23&lt;&gt;"Valid","Input required",$C$12/12)</x:f>
        <x:v>450</x:v>
      </x:c>
      <x:c r="F71" s="18" t="n">
        <x:f>IF($C$23&lt;&gt;"Valid","Input required",D71-E71)</x:f>
        <x:v>1550</x:v>
      </x:c>
      <x:c r="G71" s="18" t="n">
        <x:f>IF($C$23&lt;&gt;"Valid","Input required",G70+F71)</x:f>
        <x:v>-100</x:v>
      </x:c>
      <x:c r="H71" s="18" t="n">
        <x:f>IF($C$23&lt;&gt;"Valid","Input required",F71/(1+$C$45)^(B71/12))</x:f>
        <x:v>1343.5154666642434</x:v>
      </x:c>
      <x:c r="I71" s="22" t="n">
        <x:f>IF($C$23&lt;&gt;"Valid","Input required",IF(AND(G70&lt;0,G71&gt;=0),B71-1-G70/F71,0))</x:f>
        <x:v>0</x:v>
      </x:c>
      <x:c r="J71" s="18" t="n">
        <x:f>IF($C$23&lt;&gt;"Valid","Input required",$C$9/12*C71)</x:f>
        <x:v>3050</x:v>
      </x:c>
      <x:c r="K71" s="18" t="n">
        <x:f>IF($C$23&lt;&gt;"Valid","Input required",$C$13/12)</x:f>
        <x:v>120</x:v>
      </x:c>
      <x:c r="L71" s="2"/>
      <x:c r="M71" s="2"/>
      <x:c r="N71" s="2"/>
      <x:c r="O71" s="2"/>
      <x:c r="P71" s="2"/>
    </x:row>
    <x:row r="72" ht="23" customHeight="1">
      <x:c r="A72" s="2"/>
      <x:c r="B72" s="2" t="n">
        <x:v>19</x:v>
      </x:c>
      <x:c r="C72" s="21" t="n">
        <x:f>IF($C$23&lt;&gt;"Valid","Input required",IF(B72&lt;$C$35,0,IF(B72&lt;$C$35+$C$36,$C$37,1)))</x:f>
        <x:v>1</x:v>
      </x:c>
      <x:c r="D72" s="18" t="n">
        <x:f>IF($C$23&lt;&gt;"Valid","Input required",$C$8/12*C72)</x:f>
        <x:v>2000</x:v>
      </x:c>
      <x:c r="E72" s="18" t="n">
        <x:f>IF($C$23&lt;&gt;"Valid","Input required",$C$12/12)</x:f>
        <x:v>450</x:v>
      </x:c>
      <x:c r="F72" s="18" t="n">
        <x:f>IF($C$23&lt;&gt;"Valid","Input required",D72-E72)</x:f>
        <x:v>1550</x:v>
      </x:c>
      <x:c r="G72" s="18" t="n">
        <x:f>IF($C$23&lt;&gt;"Valid","Input required",G71+F72)</x:f>
        <x:v>1450</x:v>
      </x:c>
      <x:c r="H72" s="18" t="n">
        <x:f>IF($C$23&lt;&gt;"Valid","Input required",F72/(1+$C$45)^(B72/12))</x:f>
        <x:v>1332.8868398276202</x:v>
      </x:c>
      <x:c r="I72" s="22" t="n">
        <x:f>IF($C$23&lt;&gt;"Valid","Input required",IF(AND(G71&lt;0,G72&gt;=0),B72-1-G71/F72,0))</x:f>
        <x:v>18.06451612903226</x:v>
      </x:c>
      <x:c r="J72" s="18" t="n">
        <x:f>IF($C$23&lt;&gt;"Valid","Input required",$C$9/12*C72)</x:f>
        <x:v>3050</x:v>
      </x:c>
      <x:c r="K72" s="18" t="n">
        <x:f>IF($C$23&lt;&gt;"Valid","Input required",$C$13/12)</x:f>
        <x:v>120</x:v>
      </x:c>
      <x:c r="L72" s="2"/>
      <x:c r="M72" s="2"/>
      <x:c r="N72" s="2"/>
      <x:c r="O72" s="2"/>
      <x:c r="P72" s="2"/>
    </x:row>
    <x:row r="73" ht="23" customHeight="1">
      <x:c r="A73" s="2"/>
      <x:c r="B73" s="2" t="n">
        <x:v>20</x:v>
      </x:c>
      <x:c r="C73" s="21" t="n">
        <x:f>IF($C$23&lt;&gt;"Valid","Input required",IF(B73&lt;$C$35,0,IF(B73&lt;$C$35+$C$36,$C$37,1)))</x:f>
        <x:v>1</x:v>
      </x:c>
      <x:c r="D73" s="18" t="n">
        <x:f>IF($C$23&lt;&gt;"Valid","Input required",$C$8/12*C73)</x:f>
        <x:v>2000</x:v>
      </x:c>
      <x:c r="E73" s="18" t="n">
        <x:f>IF($C$23&lt;&gt;"Valid","Input required",$C$12/12)</x:f>
        <x:v>450</x:v>
      </x:c>
      <x:c r="F73" s="18" t="n">
        <x:f>IF($C$23&lt;&gt;"Valid","Input required",D73-E73)</x:f>
        <x:v>1550</x:v>
      </x:c>
      <x:c r="G73" s="18" t="n">
        <x:f>IF($C$23&lt;&gt;"Valid","Input required",G72+F73)</x:f>
        <x:v>3000</x:v>
      </x:c>
      <x:c r="H73" s="18" t="n">
        <x:f>IF($C$23&lt;&gt;"Valid","Input required",F73/(1+$C$45)^(B73/12))</x:f>
        <x:v>1322.3422966589826</x:v>
      </x:c>
      <x:c r="I73" s="22" t="n">
        <x:f>IF($C$23&lt;&gt;"Valid","Input required",IF(AND(G72&lt;0,G73&gt;=0),B73-1-G72/F73,0))</x:f>
        <x:v>0</x:v>
      </x:c>
      <x:c r="J73" s="18" t="n">
        <x:f>IF($C$23&lt;&gt;"Valid","Input required",$C$9/12*C73)</x:f>
        <x:v>3050</x:v>
      </x:c>
      <x:c r="K73" s="18" t="n">
        <x:f>IF($C$23&lt;&gt;"Valid","Input required",$C$13/12)</x:f>
        <x:v>120</x:v>
      </x:c>
      <x:c r="L73" s="2"/>
      <x:c r="M73" s="2"/>
      <x:c r="N73" s="2"/>
      <x:c r="O73" s="2"/>
      <x:c r="P73" s="2"/>
    </x:row>
    <x:row r="74" ht="23" customHeight="1">
      <x:c r="A74" s="2"/>
      <x:c r="B74" s="2" t="n">
        <x:v>21</x:v>
      </x:c>
      <x:c r="C74" s="21" t="n">
        <x:f>IF($C$23&lt;&gt;"Valid","Input required",IF(B74&lt;$C$35,0,IF(B74&lt;$C$35+$C$36,$C$37,1)))</x:f>
        <x:v>1</x:v>
      </x:c>
      <x:c r="D74" s="18" t="n">
        <x:f>IF($C$23&lt;&gt;"Valid","Input required",$C$8/12*C74)</x:f>
        <x:v>2000</x:v>
      </x:c>
      <x:c r="E74" s="18" t="n">
        <x:f>IF($C$23&lt;&gt;"Valid","Input required",$C$12/12)</x:f>
        <x:v>450</x:v>
      </x:c>
      <x:c r="F74" s="18" t="n">
        <x:f>IF($C$23&lt;&gt;"Valid","Input required",D74-E74)</x:f>
        <x:v>1550</x:v>
      </x:c>
      <x:c r="G74" s="18" t="n">
        <x:f>IF($C$23&lt;&gt;"Valid","Input required",G73+F74)</x:f>
        <x:v>4550</x:v>
      </x:c>
      <x:c r="H74" s="18" t="n">
        <x:f>IF($C$23&lt;&gt;"Valid","Input required",F74/(1+$C$45)^(B74/12))</x:f>
        <x:v>1311.8811719676773</x:v>
      </x:c>
      <x:c r="I74" s="22" t="n">
        <x:f>IF($C$23&lt;&gt;"Valid","Input required",IF(AND(G73&lt;0,G74&gt;=0),B74-1-G73/F74,0))</x:f>
        <x:v>0</x:v>
      </x:c>
      <x:c r="J74" s="18" t="n">
        <x:f>IF($C$23&lt;&gt;"Valid","Input required",$C$9/12*C74)</x:f>
        <x:v>3050</x:v>
      </x:c>
      <x:c r="K74" s="18" t="n">
        <x:f>IF($C$23&lt;&gt;"Valid","Input required",$C$13/12)</x:f>
        <x:v>120</x:v>
      </x:c>
      <x:c r="L74" s="2"/>
      <x:c r="M74" s="2"/>
      <x:c r="N74" s="2"/>
      <x:c r="O74" s="2"/>
      <x:c r="P74" s="2"/>
    </x:row>
    <x:row r="75" ht="23" customHeight="1">
      <x:c r="A75" s="2"/>
      <x:c r="B75" s="2" t="n">
        <x:v>22</x:v>
      </x:c>
      <x:c r="C75" s="21" t="n">
        <x:f>IF($C$23&lt;&gt;"Valid","Input required",IF(B75&lt;$C$35,0,IF(B75&lt;$C$35+$C$36,$C$37,1)))</x:f>
        <x:v>1</x:v>
      </x:c>
      <x:c r="D75" s="18" t="n">
        <x:f>IF($C$23&lt;&gt;"Valid","Input required",$C$8/12*C75)</x:f>
        <x:v>2000</x:v>
      </x:c>
      <x:c r="E75" s="18" t="n">
        <x:f>IF($C$23&lt;&gt;"Valid","Input required",$C$12/12)</x:f>
        <x:v>450</x:v>
      </x:c>
      <x:c r="F75" s="18" t="n">
        <x:f>IF($C$23&lt;&gt;"Valid","Input required",D75-E75)</x:f>
        <x:v>1550</x:v>
      </x:c>
      <x:c r="G75" s="18" t="n">
        <x:f>IF($C$23&lt;&gt;"Valid","Input required",G74+F75)</x:f>
        <x:v>6100</x:v>
      </x:c>
      <x:c r="H75" s="18" t="n">
        <x:f>IF($C$23&lt;&gt;"Valid","Input required",F75/(1+$C$45)^(B75/12))</x:f>
        <x:v>1301.5028058254134</x:v>
      </x:c>
      <x:c r="I75" s="22" t="n">
        <x:f>IF($C$23&lt;&gt;"Valid","Input required",IF(AND(G74&lt;0,G75&gt;=0),B75-1-G74/F75,0))</x:f>
        <x:v>0</x:v>
      </x:c>
      <x:c r="J75" s="18" t="n">
        <x:f>IF($C$23&lt;&gt;"Valid","Input required",$C$9/12*C75)</x:f>
        <x:v>3050</x:v>
      </x:c>
      <x:c r="K75" s="18" t="n">
        <x:f>IF($C$23&lt;&gt;"Valid","Input required",$C$13/12)</x:f>
        <x:v>120</x:v>
      </x:c>
      <x:c r="L75" s="2"/>
      <x:c r="M75" s="2"/>
      <x:c r="N75" s="2"/>
      <x:c r="O75" s="2"/>
      <x:c r="P75" s="2"/>
    </x:row>
    <x:row r="76" ht="23" customHeight="1">
      <x:c r="A76" s="2"/>
      <x:c r="B76" s="2" t="n">
        <x:v>23</x:v>
      </x:c>
      <x:c r="C76" s="21" t="n">
        <x:f>IF($C$23&lt;&gt;"Valid","Input required",IF(B76&lt;$C$35,0,IF(B76&lt;$C$35+$C$36,$C$37,1)))</x:f>
        <x:v>1</x:v>
      </x:c>
      <x:c r="D76" s="18" t="n">
        <x:f>IF($C$23&lt;&gt;"Valid","Input required",$C$8/12*C76)</x:f>
        <x:v>2000</x:v>
      </x:c>
      <x:c r="E76" s="18" t="n">
        <x:f>IF($C$23&lt;&gt;"Valid","Input required",$C$12/12)</x:f>
        <x:v>450</x:v>
      </x:c>
      <x:c r="F76" s="18" t="n">
        <x:f>IF($C$23&lt;&gt;"Valid","Input required",D76-E76)</x:f>
        <x:v>1550</x:v>
      </x:c>
      <x:c r="G76" s="18" t="n">
        <x:f>IF($C$23&lt;&gt;"Valid","Input required",G75+F76)</x:f>
        <x:v>7650</x:v>
      </x:c>
      <x:c r="H76" s="18" t="n">
        <x:f>IF($C$23&lt;&gt;"Valid","Input required",F76/(1+$C$45)^(B76/12))</x:f>
        <x:v>1291.2065435246286</x:v>
      </x:c>
      <x:c r="I76" s="22" t="n">
        <x:f>IF($C$23&lt;&gt;"Valid","Input required",IF(AND(G75&lt;0,G76&gt;=0),B76-1-G75/F76,0))</x:f>
        <x:v>0</x:v>
      </x:c>
      <x:c r="J76" s="18" t="n">
        <x:f>IF($C$23&lt;&gt;"Valid","Input required",$C$9/12*C76)</x:f>
        <x:v>3050</x:v>
      </x:c>
      <x:c r="K76" s="18" t="n">
        <x:f>IF($C$23&lt;&gt;"Valid","Input required",$C$13/12)</x:f>
        <x:v>120</x:v>
      </x:c>
      <x:c r="L76" s="2"/>
      <x:c r="M76" s="2"/>
      <x:c r="N76" s="2"/>
      <x:c r="O76" s="2"/>
      <x:c r="P76" s="2"/>
    </x:row>
    <x:row r="77" ht="23" customHeight="1">
      <x:c r="A77" s="2"/>
      <x:c r="B77" s="2" t="n">
        <x:v>24</x:v>
      </x:c>
      <x:c r="C77" s="21" t="n">
        <x:f>IF($C$23&lt;&gt;"Valid","Input required",IF(B77&lt;$C$35,0,IF(B77&lt;$C$35+$C$36,$C$37,1)))</x:f>
        <x:v>1</x:v>
      </x:c>
      <x:c r="D77" s="18" t="n">
        <x:f>IF($C$23&lt;&gt;"Valid","Input required",$C$8/12*C77)</x:f>
        <x:v>2000</x:v>
      </x:c>
      <x:c r="E77" s="18" t="n">
        <x:f>IF($C$23&lt;&gt;"Valid","Input required",$C$12/12)</x:f>
        <x:v>450</x:v>
      </x:c>
      <x:c r="F77" s="18" t="n">
        <x:f>IF($C$23&lt;&gt;"Valid","Input required",D77-E77)</x:f>
        <x:v>1550</x:v>
      </x:c>
      <x:c r="G77" s="18" t="n">
        <x:f>IF($C$23&lt;&gt;"Valid","Input required",G76+F77)</x:f>
        <x:v>9200</x:v>
      </x:c>
      <x:c r="H77" s="18" t="n">
        <x:f>IF($C$23&lt;&gt;"Valid","Input required",F77/(1+$C$45)^(B77/12))</x:f>
        <x:v>1280.99173553719</x:v>
      </x:c>
      <x:c r="I77" s="22" t="n">
        <x:f>IF($C$23&lt;&gt;"Valid","Input required",IF(AND(G76&lt;0,G77&gt;=0),B77-1-G76/F77,0))</x:f>
        <x:v>0</x:v>
      </x:c>
      <x:c r="J77" s="18" t="n">
        <x:f>IF($C$23&lt;&gt;"Valid","Input required",$C$9/12*C77)</x:f>
        <x:v>3050</x:v>
      </x:c>
      <x:c r="K77" s="18" t="n">
        <x:f>IF($C$23&lt;&gt;"Valid","Input required",$C$13/12)</x:f>
        <x:v>120</x:v>
      </x:c>
      <x:c r="L77" s="2"/>
      <x:c r="M77" s="2"/>
      <x:c r="N77" s="2"/>
      <x:c r="O77" s="2"/>
      <x:c r="P77" s="2"/>
    </x:row>
    <x:row r="78" ht="23" customHeight="1">
      <x:c r="A78" s="2"/>
      <x:c r="B78" s="2" t="n">
        <x:v>25</x:v>
      </x:c>
      <x:c r="C78" s="21" t="n">
        <x:f>IF($C$23&lt;&gt;"Valid","Input required",IF(B78&lt;$C$35,0,IF(B78&lt;$C$35+$C$36,$C$37,1)))</x:f>
        <x:v>1</x:v>
      </x:c>
      <x:c r="D78" s="18" t="n">
        <x:f>IF($C$23&lt;&gt;"Valid","Input required",$C$8/12*C78)</x:f>
        <x:v>2000</x:v>
      </x:c>
      <x:c r="E78" s="18" t="n">
        <x:f>IF($C$23&lt;&gt;"Valid","Input required",$C$12/12)</x:f>
        <x:v>450</x:v>
      </x:c>
      <x:c r="F78" s="18" t="n">
        <x:f>IF($C$23&lt;&gt;"Valid","Input required",D78-E78)</x:f>
        <x:v>1550</x:v>
      </x:c>
      <x:c r="G78" s="18" t="n">
        <x:f>IF($C$23&lt;&gt;"Valid","Input required",G77+F78)</x:f>
        <x:v>10750</x:v>
      </x:c>
      <x:c r="H78" s="18" t="n">
        <x:f>IF($C$23&lt;&gt;"Valid","Input required",F78/(1+$C$45)^(B78/12))</x:f>
        <x:v>1270.857737473418</x:v>
      </x:c>
      <x:c r="I78" s="22" t="n">
        <x:f>IF($C$23&lt;&gt;"Valid","Input required",IF(AND(G77&lt;0,G78&gt;=0),B78-1-G77/F78,0))</x:f>
        <x:v>0</x:v>
      </x:c>
      <x:c r="J78" s="18" t="n">
        <x:f>IF($C$23&lt;&gt;"Valid","Input required",$C$9/12*C78)</x:f>
        <x:v>3050</x:v>
      </x:c>
      <x:c r="K78" s="18" t="n">
        <x:f>IF($C$23&lt;&gt;"Valid","Input required",$C$13/12)</x:f>
        <x:v>120</x:v>
      </x:c>
      <x:c r="L78" s="2"/>
      <x:c r="M78" s="2"/>
      <x:c r="N78" s="2"/>
      <x:c r="O78" s="2"/>
      <x:c r="P78" s="2"/>
    </x:row>
    <x:row r="79" ht="23" customHeight="1">
      <x:c r="A79" s="2"/>
      <x:c r="B79" s="2" t="n">
        <x:v>26</x:v>
      </x:c>
      <x:c r="C79" s="21" t="n">
        <x:f>IF($C$23&lt;&gt;"Valid","Input required",IF(B79&lt;$C$35,0,IF(B79&lt;$C$35+$C$36,$C$37,1)))</x:f>
        <x:v>1</x:v>
      </x:c>
      <x:c r="D79" s="18" t="n">
        <x:f>IF($C$23&lt;&gt;"Valid","Input required",$C$8/12*C79)</x:f>
        <x:v>2000</x:v>
      </x:c>
      <x:c r="E79" s="18" t="n">
        <x:f>IF($C$23&lt;&gt;"Valid","Input required",$C$12/12)</x:f>
        <x:v>450</x:v>
      </x:c>
      <x:c r="F79" s="18" t="n">
        <x:f>IF($C$23&lt;&gt;"Valid","Input required",D79-E79)</x:f>
        <x:v>1550</x:v>
      </x:c>
      <x:c r="G79" s="18" t="n">
        <x:f>IF($C$23&lt;&gt;"Valid","Input required",G78+F79)</x:f>
        <x:v>12300</x:v>
      </x:c>
      <x:c r="H79" s="18" t="n">
        <x:f>IF($C$23&lt;&gt;"Valid","Input required",F79/(1+$C$45)^(B79/12))</x:f>
        <x:v>1260.8039100414367</x:v>
      </x:c>
      <x:c r="I79" s="22" t="n">
        <x:f>IF($C$23&lt;&gt;"Valid","Input required",IF(AND(G78&lt;0,G79&gt;=0),B79-1-G78/F79,0))</x:f>
        <x:v>0</x:v>
      </x:c>
      <x:c r="J79" s="18" t="n">
        <x:f>IF($C$23&lt;&gt;"Valid","Input required",$C$9/12*C79)</x:f>
        <x:v>3050</x:v>
      </x:c>
      <x:c r="K79" s="18" t="n">
        <x:f>IF($C$23&lt;&gt;"Valid","Input required",$C$13/12)</x:f>
        <x:v>120</x:v>
      </x:c>
      <x:c r="L79" s="2"/>
      <x:c r="M79" s="2"/>
      <x:c r="N79" s="2"/>
      <x:c r="O79" s="2"/>
      <x:c r="P79" s="2"/>
    </x:row>
    <x:row r="80" ht="23" customHeight="1">
      <x:c r="A80" s="2"/>
      <x:c r="B80" s="2" t="n">
        <x:v>27</x:v>
      </x:c>
      <x:c r="C80" s="21" t="n">
        <x:f>IF($C$23&lt;&gt;"Valid","Input required",IF(B80&lt;$C$35,0,IF(B80&lt;$C$35+$C$36,$C$37,1)))</x:f>
        <x:v>1</x:v>
      </x:c>
      <x:c r="D80" s="18" t="n">
        <x:f>IF($C$23&lt;&gt;"Valid","Input required",$C$8/12*C80)</x:f>
        <x:v>2000</x:v>
      </x:c>
      <x:c r="E80" s="18" t="n">
        <x:f>IF($C$23&lt;&gt;"Valid","Input required",$C$12/12)</x:f>
        <x:v>450</x:v>
      </x:c>
      <x:c r="F80" s="18" t="n">
        <x:f>IF($C$23&lt;&gt;"Valid","Input required",D80-E80)</x:f>
        <x:v>1550</x:v>
      </x:c>
      <x:c r="G80" s="18" t="n">
        <x:f>IF($C$23&lt;&gt;"Valid","Input required",G79+F80)</x:f>
        <x:v>13850</x:v>
      </x:c>
      <x:c r="H80" s="18" t="n">
        <x:f>IF($C$23&lt;&gt;"Valid","Input required",F80/(1+$C$45)^(B80/12))</x:f>
        <x:v>1250.8296190068438</x:v>
      </x:c>
      <x:c r="I80" s="22" t="n">
        <x:f>IF($C$23&lt;&gt;"Valid","Input required",IF(AND(G79&lt;0,G80&gt;=0),B80-1-G79/F80,0))</x:f>
        <x:v>0</x:v>
      </x:c>
      <x:c r="J80" s="18" t="n">
        <x:f>IF($C$23&lt;&gt;"Valid","Input required",$C$9/12*C80)</x:f>
        <x:v>3050</x:v>
      </x:c>
      <x:c r="K80" s="18" t="n">
        <x:f>IF($C$23&lt;&gt;"Valid","Input required",$C$13/12)</x:f>
        <x:v>120</x:v>
      </x:c>
      <x:c r="L80" s="2"/>
      <x:c r="M80" s="2"/>
      <x:c r="N80" s="2"/>
      <x:c r="O80" s="2"/>
      <x:c r="P80" s="2"/>
    </x:row>
    <x:row r="81" ht="23" customHeight="1">
      <x:c r="A81" s="2"/>
      <x:c r="B81" s="2" t="n">
        <x:v>28</x:v>
      </x:c>
      <x:c r="C81" s="21" t="n">
        <x:f>IF($C$23&lt;&gt;"Valid","Input required",IF(B81&lt;$C$35,0,IF(B81&lt;$C$35+$C$36,$C$37,1)))</x:f>
        <x:v>1</x:v>
      </x:c>
      <x:c r="D81" s="18" t="n">
        <x:f>IF($C$23&lt;&gt;"Valid","Input required",$C$8/12*C81)</x:f>
        <x:v>2000</x:v>
      </x:c>
      <x:c r="E81" s="18" t="n">
        <x:f>IF($C$23&lt;&gt;"Valid","Input required",$C$12/12)</x:f>
        <x:v>450</x:v>
      </x:c>
      <x:c r="F81" s="18" t="n">
        <x:f>IF($C$23&lt;&gt;"Valid","Input required",D81-E81)</x:f>
        <x:v>1550</x:v>
      </x:c>
      <x:c r="G81" s="18" t="n">
        <x:f>IF($C$23&lt;&gt;"Valid","Input required",G80+F81)</x:f>
        <x:v>15400</x:v>
      </x:c>
      <x:c r="H81" s="18" t="n">
        <x:f>IF($C$23&lt;&gt;"Valid","Input required",F81/(1+$C$45)^(B81/12))</x:f>
        <x:v>1240.934235152702</x:v>
      </x:c>
      <x:c r="I81" s="22" t="n">
        <x:f>IF($C$23&lt;&gt;"Valid","Input required",IF(AND(G80&lt;0,G81&gt;=0),B81-1-G80/F81,0))</x:f>
        <x:v>0</x:v>
      </x:c>
      <x:c r="J81" s="18" t="n">
        <x:f>IF($C$23&lt;&gt;"Valid","Input required",$C$9/12*C81)</x:f>
        <x:v>3050</x:v>
      </x:c>
      <x:c r="K81" s="18" t="n">
        <x:f>IF($C$23&lt;&gt;"Valid","Input required",$C$13/12)</x:f>
        <x:v>120</x:v>
      </x:c>
      <x:c r="L81" s="2"/>
      <x:c r="M81" s="2"/>
      <x:c r="N81" s="2"/>
      <x:c r="O81" s="2"/>
      <x:c r="P81" s="2"/>
    </x:row>
    <x:row r="82" ht="23" customHeight="1">
      <x:c r="A82" s="2"/>
      <x:c r="B82" s="2" t="n">
        <x:v>29</x:v>
      </x:c>
      <x:c r="C82" s="21" t="n">
        <x:f>IF($C$23&lt;&gt;"Valid","Input required",IF(B82&lt;$C$35,0,IF(B82&lt;$C$35+$C$36,$C$37,1)))</x:f>
        <x:v>1</x:v>
      </x:c>
      <x:c r="D82" s="18" t="n">
        <x:f>IF($C$23&lt;&gt;"Valid","Input required",$C$8/12*C82)</x:f>
        <x:v>2000</x:v>
      </x:c>
      <x:c r="E82" s="18" t="n">
        <x:f>IF($C$23&lt;&gt;"Valid","Input required",$C$12/12)</x:f>
        <x:v>450</x:v>
      </x:c>
      <x:c r="F82" s="18" t="n">
        <x:f>IF($C$23&lt;&gt;"Valid","Input required",D82-E82)</x:f>
        <x:v>1550</x:v>
      </x:c>
      <x:c r="G82" s="18" t="n">
        <x:f>IF($C$23&lt;&gt;"Valid","Input required",G81+F82)</x:f>
        <x:v>16950</x:v>
      </x:c>
      <x:c r="H82" s="18" t="n">
        <x:f>IF($C$23&lt;&gt;"Valid","Input required",F82/(1+$C$45)^(B82/12))</x:f>
        <x:v>1231.1171342398438</x:v>
      </x:c>
      <x:c r="I82" s="22" t="n">
        <x:f>IF($C$23&lt;&gt;"Valid","Input required",IF(AND(G81&lt;0,G82&gt;=0),B82-1-G81/F82,0))</x:f>
        <x:v>0</x:v>
      </x:c>
      <x:c r="J82" s="18" t="n">
        <x:f>IF($C$23&lt;&gt;"Valid","Input required",$C$9/12*C82)</x:f>
        <x:v>3050</x:v>
      </x:c>
      <x:c r="K82" s="18" t="n">
        <x:f>IF($C$23&lt;&gt;"Valid","Input required",$C$13/12)</x:f>
        <x:v>120</x:v>
      </x:c>
      <x:c r="L82" s="2"/>
      <x:c r="M82" s="2"/>
      <x:c r="N82" s="2"/>
      <x:c r="O82" s="2"/>
      <x:c r="P82" s="2"/>
    </x:row>
    <x:row r="83" ht="23" customHeight="1">
      <x:c r="A83" s="2"/>
      <x:c r="B83" s="2" t="n">
        <x:v>30</x:v>
      </x:c>
      <x:c r="C83" s="21" t="n">
        <x:f>IF($C$23&lt;&gt;"Valid","Input required",IF(B83&lt;$C$35,0,IF(B83&lt;$C$35+$C$36,$C$37,1)))</x:f>
        <x:v>1</x:v>
      </x:c>
      <x:c r="D83" s="18" t="n">
        <x:f>IF($C$23&lt;&gt;"Valid","Input required",$C$8/12*C83)</x:f>
        <x:v>2000</x:v>
      </x:c>
      <x:c r="E83" s="18" t="n">
        <x:f>IF($C$23&lt;&gt;"Valid","Input required",$C$12/12)</x:f>
        <x:v>450</x:v>
      </x:c>
      <x:c r="F83" s="18" t="n">
        <x:f>IF($C$23&lt;&gt;"Valid","Input required",D83-E83)</x:f>
        <x:v>1550</x:v>
      </x:c>
      <x:c r="G83" s="18" t="n">
        <x:f>IF($C$23&lt;&gt;"Valid","Input required",G82+F83)</x:f>
        <x:v>18500</x:v>
      </x:c>
      <x:c r="H83" s="18" t="n">
        <x:f>IF($C$23&lt;&gt;"Valid","Input required",F83/(1+$C$45)^(B83/12))</x:f>
        <x:v>1221.377696967494</x:v>
      </x:c>
      <x:c r="I83" s="22" t="n">
        <x:f>IF($C$23&lt;&gt;"Valid","Input required",IF(AND(G82&lt;0,G83&gt;=0),B83-1-G82/F83,0))</x:f>
        <x:v>0</x:v>
      </x:c>
      <x:c r="J83" s="18" t="n">
        <x:f>IF($C$23&lt;&gt;"Valid","Input required",$C$9/12*C83)</x:f>
        <x:v>3050</x:v>
      </x:c>
      <x:c r="K83" s="18" t="n">
        <x:f>IF($C$23&lt;&gt;"Valid","Input required",$C$13/12)</x:f>
        <x:v>120</x:v>
      </x:c>
      <x:c r="L83" s="2"/>
      <x:c r="M83" s="2"/>
      <x:c r="N83" s="2"/>
      <x:c r="O83" s="2"/>
      <x:c r="P83" s="2"/>
    </x:row>
    <x:row r="84" ht="23" customHeight="1">
      <x:c r="A84" s="2"/>
      <x:c r="B84" s="2" t="n">
        <x:v>31</x:v>
      </x:c>
      <x:c r="C84" s="21" t="n">
        <x:f>IF($C$23&lt;&gt;"Valid","Input required",IF(B84&lt;$C$35,0,IF(B84&lt;$C$35+$C$36,$C$37,1)))</x:f>
        <x:v>1</x:v>
      </x:c>
      <x:c r="D84" s="18" t="n">
        <x:f>IF($C$23&lt;&gt;"Valid","Input required",$C$8/12*C84)</x:f>
        <x:v>2000</x:v>
      </x:c>
      <x:c r="E84" s="18" t="n">
        <x:f>IF($C$23&lt;&gt;"Valid","Input required",$C$12/12)</x:f>
        <x:v>450</x:v>
      </x:c>
      <x:c r="F84" s="18" t="n">
        <x:f>IF($C$23&lt;&gt;"Valid","Input required",D84-E84)</x:f>
        <x:v>1550</x:v>
      </x:c>
      <x:c r="G84" s="18" t="n">
        <x:f>IF($C$23&lt;&gt;"Valid","Input required",G83+F84)</x:f>
        <x:v>20050</x:v>
      </x:c>
      <x:c r="H84" s="18" t="n">
        <x:f>IF($C$23&lt;&gt;"Valid","Input required",F84/(1+$C$45)^(B84/12))</x:f>
        <x:v>1211.7153089342003</x:v>
      </x:c>
      <x:c r="I84" s="22" t="n">
        <x:f>IF($C$23&lt;&gt;"Valid","Input required",IF(AND(G83&lt;0,G84&gt;=0),B84-1-G83/F84,0))</x:f>
        <x:v>0</x:v>
      </x:c>
      <x:c r="J84" s="18" t="n">
        <x:f>IF($C$23&lt;&gt;"Valid","Input required",$C$9/12*C84)</x:f>
        <x:v>3050</x:v>
      </x:c>
      <x:c r="K84" s="18" t="n">
        <x:f>IF($C$23&lt;&gt;"Valid","Input required",$C$13/12)</x:f>
        <x:v>120</x:v>
      </x:c>
      <x:c r="L84" s="2"/>
      <x:c r="M84" s="2"/>
      <x:c r="N84" s="2"/>
      <x:c r="O84" s="2"/>
      <x:c r="P84" s="2"/>
    </x:row>
    <x:row r="85" ht="23" customHeight="1">
      <x:c r="A85" s="2"/>
      <x:c r="B85" s="2" t="n">
        <x:v>32</x:v>
      </x:c>
      <x:c r="C85" s="21" t="n">
        <x:f>IF($C$23&lt;&gt;"Valid","Input required",IF(B85&lt;$C$35,0,IF(B85&lt;$C$35+$C$36,$C$37,1)))</x:f>
        <x:v>1</x:v>
      </x:c>
      <x:c r="D85" s="18" t="n">
        <x:f>IF($C$23&lt;&gt;"Valid","Input required",$C$8/12*C85)</x:f>
        <x:v>2000</x:v>
      </x:c>
      <x:c r="E85" s="18" t="n">
        <x:f>IF($C$23&lt;&gt;"Valid","Input required",$C$12/12)</x:f>
        <x:v>450</x:v>
      </x:c>
      <x:c r="F85" s="18" t="n">
        <x:f>IF($C$23&lt;&gt;"Valid","Input required",D85-E85)</x:f>
        <x:v>1550</x:v>
      </x:c>
      <x:c r="G85" s="18" t="n">
        <x:f>IF($C$23&lt;&gt;"Valid","Input required",G84+F85)</x:f>
        <x:v>21600</x:v>
      </x:c>
      <x:c r="H85" s="18" t="n">
        <x:f>IF($C$23&lt;&gt;"Valid","Input required",F85/(1+$C$45)^(B85/12))</x:f>
        <x:v>1202.129360599075</x:v>
      </x:c>
      <x:c r="I85" s="22" t="n">
        <x:f>IF($C$23&lt;&gt;"Valid","Input required",IF(AND(G84&lt;0,G85&gt;=0),B85-1-G84/F85,0))</x:f>
        <x:v>0</x:v>
      </x:c>
      <x:c r="J85" s="18" t="n">
        <x:f>IF($C$23&lt;&gt;"Valid","Input required",$C$9/12*C85)</x:f>
        <x:v>3050</x:v>
      </x:c>
      <x:c r="K85" s="18" t="n">
        <x:f>IF($C$23&lt;&gt;"Valid","Input required",$C$13/12)</x:f>
        <x:v>120</x:v>
      </x:c>
      <x:c r="L85" s="2"/>
      <x:c r="M85" s="2"/>
      <x:c r="N85" s="2"/>
      <x:c r="O85" s="2"/>
      <x:c r="P85" s="2"/>
    </x:row>
    <x:row r="86" ht="23" customHeight="1">
      <x:c r="A86" s="2"/>
      <x:c r="B86" s="2" t="n">
        <x:v>33</x:v>
      </x:c>
      <x:c r="C86" s="21" t="n">
        <x:f>IF($C$23&lt;&gt;"Valid","Input required",IF(B86&lt;$C$35,0,IF(B86&lt;$C$35+$C$36,$C$37,1)))</x:f>
        <x:v>1</x:v>
      </x:c>
      <x:c r="D86" s="18" t="n">
        <x:f>IF($C$23&lt;&gt;"Valid","Input required",$C$8/12*C86)</x:f>
        <x:v>2000</x:v>
      </x:c>
      <x:c r="E86" s="18" t="n">
        <x:f>IF($C$23&lt;&gt;"Valid","Input required",$C$12/12)</x:f>
        <x:v>450</x:v>
      </x:c>
      <x:c r="F86" s="18" t="n">
        <x:f>IF($C$23&lt;&gt;"Valid","Input required",D86-E86)</x:f>
        <x:v>1550</x:v>
      </x:c>
      <x:c r="G86" s="18" t="n">
        <x:f>IF($C$23&lt;&gt;"Valid","Input required",G85+F86)</x:f>
        <x:v>23150</x:v>
      </x:c>
      <x:c r="H86" s="18" t="n">
        <x:f>IF($C$23&lt;&gt;"Valid","Input required",F86/(1+$C$45)^(B86/12))</x:f>
        <x:v>1192.619247243343</x:v>
      </x:c>
      <x:c r="I86" s="22" t="n">
        <x:f>IF($C$23&lt;&gt;"Valid","Input required",IF(AND(G85&lt;0,G86&gt;=0),B86-1-G85/F86,0))</x:f>
        <x:v>0</x:v>
      </x:c>
      <x:c r="J86" s="18" t="n">
        <x:f>IF($C$23&lt;&gt;"Valid","Input required",$C$9/12*C86)</x:f>
        <x:v>3050</x:v>
      </x:c>
      <x:c r="K86" s="18" t="n">
        <x:f>IF($C$23&lt;&gt;"Valid","Input required",$C$13/12)</x:f>
        <x:v>120</x:v>
      </x:c>
      <x:c r="L86" s="2"/>
      <x:c r="M86" s="2"/>
      <x:c r="N86" s="2"/>
      <x:c r="O86" s="2"/>
      <x:c r="P86" s="2"/>
    </x:row>
    <x:row r="87" ht="23" customHeight="1">
      <x:c r="A87" s="2"/>
      <x:c r="B87" s="2" t="n">
        <x:v>34</x:v>
      </x:c>
      <x:c r="C87" s="21" t="n">
        <x:f>IF($C$23&lt;&gt;"Valid","Input required",IF(B87&lt;$C$35,0,IF(B87&lt;$C$35+$C$36,$C$37,1)))</x:f>
        <x:v>1</x:v>
      </x:c>
      <x:c r="D87" s="18" t="n">
        <x:f>IF($C$23&lt;&gt;"Valid","Input required",$C$8/12*C87)</x:f>
        <x:v>2000</x:v>
      </x:c>
      <x:c r="E87" s="18" t="n">
        <x:f>IF($C$23&lt;&gt;"Valid","Input required",$C$12/12)</x:f>
        <x:v>450</x:v>
      </x:c>
      <x:c r="F87" s="18" t="n">
        <x:f>IF($C$23&lt;&gt;"Valid","Input required",D87-E87)</x:f>
        <x:v>1550</x:v>
      </x:c>
      <x:c r="G87" s="18" t="n">
        <x:f>IF($C$23&lt;&gt;"Valid","Input required",G86+F87)</x:f>
        <x:v>24700</x:v>
      </x:c>
      <x:c r="H87" s="18" t="n">
        <x:f>IF($C$23&lt;&gt;"Valid","Input required",F87/(1+$C$45)^(B87/12))</x:f>
        <x:v>1183.1843689321938</x:v>
      </x:c>
      <x:c r="I87" s="22" t="n">
        <x:f>IF($C$23&lt;&gt;"Valid","Input required",IF(AND(G86&lt;0,G87&gt;=0),B87-1-G86/F87,0))</x:f>
        <x:v>0</x:v>
      </x:c>
      <x:c r="J87" s="18" t="n">
        <x:f>IF($C$23&lt;&gt;"Valid","Input required",$C$9/12*C87)</x:f>
        <x:v>3050</x:v>
      </x:c>
      <x:c r="K87" s="18" t="n">
        <x:f>IF($C$23&lt;&gt;"Valid","Input required",$C$13/12)</x:f>
        <x:v>120</x:v>
      </x:c>
      <x:c r="L87" s="2"/>
      <x:c r="M87" s="2"/>
      <x:c r="N87" s="2"/>
      <x:c r="O87" s="2"/>
      <x:c r="P87" s="2"/>
    </x:row>
    <x:row r="88" ht="23" customHeight="1">
      <x:c r="A88" s="2"/>
      <x:c r="B88" s="2" t="n">
        <x:v>35</x:v>
      </x:c>
      <x:c r="C88" s="21" t="n">
        <x:f>IF($C$23&lt;&gt;"Valid","Input required",IF(B88&lt;$C$35,0,IF(B88&lt;$C$35+$C$36,$C$37,1)))</x:f>
        <x:v>1</x:v>
      </x:c>
      <x:c r="D88" s="18" t="n">
        <x:f>IF($C$23&lt;&gt;"Valid","Input required",$C$8/12*C88)</x:f>
        <x:v>2000</x:v>
      </x:c>
      <x:c r="E88" s="18" t="n">
        <x:f>IF($C$23&lt;&gt;"Valid","Input required",$C$12/12)</x:f>
        <x:v>450</x:v>
      </x:c>
      <x:c r="F88" s="18" t="n">
        <x:f>IF($C$23&lt;&gt;"Valid","Input required",D88-E88)</x:f>
        <x:v>1550</x:v>
      </x:c>
      <x:c r="G88" s="18" t="n">
        <x:f>IF($C$23&lt;&gt;"Valid","Input required",G87+F88)</x:f>
        <x:v>26250</x:v>
      </x:c>
      <x:c r="H88" s="18" t="n">
        <x:f>IF($C$23&lt;&gt;"Valid","Input required",F88/(1+$C$45)^(B88/12))</x:f>
        <x:v>1173.824130476935</x:v>
      </x:c>
      <x:c r="I88" s="22" t="n">
        <x:f>IF($C$23&lt;&gt;"Valid","Input required",IF(AND(G87&lt;0,G88&gt;=0),B88-1-G87/F88,0))</x:f>
        <x:v>0</x:v>
      </x:c>
      <x:c r="J88" s="18" t="n">
        <x:f>IF($C$23&lt;&gt;"Valid","Input required",$C$9/12*C88)</x:f>
        <x:v>3050</x:v>
      </x:c>
      <x:c r="K88" s="18" t="n">
        <x:f>IF($C$23&lt;&gt;"Valid","Input required",$C$13/12)</x:f>
        <x:v>120</x:v>
      </x:c>
      <x:c r="L88" s="2"/>
      <x:c r="M88" s="2"/>
      <x:c r="N88" s="2"/>
      <x:c r="O88" s="2"/>
      <x:c r="P88" s="2"/>
    </x:row>
    <x:row r="89" ht="23" customHeight="1">
      <x:c r="A89" s="2"/>
      <x:c r="B89" s="2" t="n">
        <x:v>36</x:v>
      </x:c>
      <x:c r="C89" s="21" t="n">
        <x:f>IF($C$23&lt;&gt;"Valid","Input required",IF(B89&lt;$C$35,0,IF(B89&lt;$C$35+$C$36,$C$37,1)))</x:f>
        <x:v>1</x:v>
      </x:c>
      <x:c r="D89" s="18" t="n">
        <x:f>IF($C$23&lt;&gt;"Valid","Input required",$C$8/12*C89)</x:f>
        <x:v>2000</x:v>
      </x:c>
      <x:c r="E89" s="18" t="n">
        <x:f>IF($C$23&lt;&gt;"Valid","Input required",$C$12/12)</x:f>
        <x:v>450</x:v>
      </x:c>
      <x:c r="F89" s="18" t="n">
        <x:f>IF($C$23&lt;&gt;"Valid","Input required",D89-E89)</x:f>
        <x:v>1550</x:v>
      </x:c>
      <x:c r="G89" s="18" t="n">
        <x:f>IF($C$23&lt;&gt;"Valid","Input required",G88+F89)</x:f>
        <x:v>27800</x:v>
      </x:c>
      <x:c r="H89" s="18" t="n">
        <x:f>IF($C$23&lt;&gt;"Valid","Input required",F89/(1+$C$45)^(B89/12))</x:f>
        <x:v>1164.5379413974451</x:v>
      </x:c>
      <x:c r="I89" s="22" t="n">
        <x:f>IF($C$23&lt;&gt;"Valid","Input required",IF(AND(G88&lt;0,G89&gt;=0),B89-1-G88/F89,0))</x:f>
        <x:v>0</x:v>
      </x:c>
      <x:c r="J89" s="18" t="n">
        <x:f>IF($C$23&lt;&gt;"Valid","Input required",$C$9/12*C89)</x:f>
        <x:v>3050</x:v>
      </x:c>
      <x:c r="K89" s="18" t="n">
        <x:f>IF($C$23&lt;&gt;"Valid","Input required",$C$13/12)</x:f>
        <x:v>120</x:v>
      </x:c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 t="str">
        <x:v>Payback uses cash flows, not non-cash capacity. Costs start in month 1; cash benefits follow the ramp.</x:v>
      </x:c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 t="str">
        <x:v>Method reference: ACCA, Payback and discounted payback. Cash-flow method adapted to this illustration.</x:v>
      </x:c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 t="str">
        <x:v>https://www.accaglobal.com/sg/en/student/exam-support-resources/foundation-level-study-resources/ffm/ffm-technical-articles/discounted-payback.html</x:v>
      </x:c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conditionalFormatting sqref="C23:C23">
    <x:cfRule type="expression" dxfId="0" priority="1">
      <x:formula>C23&lt;&gt;"Valid"</x:formula>
    </x:cfRule>
  </x:conditionalFormatting>
  <x:dataValidations count="2">
    <x:dataValidation type="decimal" operator="between" sqref="C31">
      <x:formula1>0</x:formula1>
      <x:formula2>1</x:formula2>
    </x:dataValidation>
    <x:dataValidation type="whole" operator="between" sqref="C35:C36">
      <x:formula1>0</x:formula1>
      <x:formula2>36</x:formula2>
    </x:dataValidation>
  </x:dataValidations>
  <x:pageMargins left="0.7" right="0.7" top="0.75" bottom="0.75" header="0.3" footer="0.3"/>
  <x:drawing xmlns:r="http://schemas.openxmlformats.org/officeDocument/2006/relationships" r:id="R7c74c9ed44274d35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5" hidden="0" customWidth="1"/>
    <x:col min="3" max="3" width="65" hidden="0" customWidth="1"/>
    <x:col min="4" max="4" width="65" hidden="0" customWidth="1"/>
    <x:col min="5" max="5" width="4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TEAM decision brief</x:v>
      </x:c>
      <x:c r="C2" s="6"/>
      <x:c r="D2" s="6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3 hours. Completed example on the left; editable client brief on the right.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Brief field</x:v>
      </x:c>
      <x:c r="C6" s="9" t="str">
        <x:v>Completed teaching example</x:v>
      </x:c>
      <x:c r="D6" s="9" t="str">
        <x:v>Your team response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53" customHeight="1">
      <x:c r="A7" s="2"/>
      <x:c r="B7" s="10" t="str">
        <x:v>Decision</x:v>
      </x:c>
      <x:c r="C7" s="10" t="str">
        <x:v>Change price or absorb a freight increase?</x:v>
      </x:c>
      <x:c r="D7" s="1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53" customHeight="1">
      <x:c r="A8" s="2"/>
      <x:c r="B8" s="10" t="str">
        <x:v>Owner and timing</x:v>
      </x:c>
      <x:c r="C8" s="10" t="str">
        <x:v>Commercial Director; before the next pricing review.</x:v>
      </x:c>
      <x:c r="D8" s="1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53" customHeight="1">
      <x:c r="A9" s="2"/>
      <x:c r="B9" s="10" t="str">
        <x:v>Problem</x:v>
      </x:c>
      <x:c r="C9" s="10" t="str">
        <x:v>Freight rises from £5 to £8 per unit at 10,000 units.</x:v>
      </x:c>
      <x:c r="D9" s="1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53" customHeight="1">
      <x:c r="A10" s="2"/>
      <x:c r="B10" s="10" t="str">
        <x:v>Desired outcome</x:v>
      </x:c>
      <x:c r="C10" s="10" t="str">
        <x:v>Compare contribution, demand sensitivity and options in time to act.</x:v>
      </x:c>
      <x:c r="D10" s="1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53" customHeight="1">
      <x:c r="A11" s="2"/>
      <x:c r="B11" s="10" t="str">
        <x:v>Approved sources</x:v>
      </x:c>
      <x:c r="C11" s="10" t="str">
        <x:v>S01 sales baseline; S02 cost sheet; S03 supplier notice.</x:v>
      </x:c>
      <x:c r="D11" s="1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53" customHeight="1">
      <x:c r="A12" s="2"/>
      <x:c r="B12" s="10" t="str">
        <x:v>Scope</x:v>
      </x:c>
      <x:c r="C12" s="10" t="str">
        <x:v>One product, one pricing decision. Fixed costs and tax excluded.</x:v>
      </x:c>
      <x:c r="D12" s="1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53" customHeight="1">
      <x:c r="A13" s="2"/>
      <x:c r="B13" s="10" t="str">
        <x:v>Current effort</x:v>
      </x:c>
      <x:c r="C13" s="10" t="str">
        <x:v>5 team effort-days per cycle; baseline to be measured locally.</x:v>
      </x:c>
      <x:c r="D13" s="1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53" customHeight="1">
      <x:c r="A14" s="2"/>
      <x:c r="B14" s="10" t="str">
        <x:v>Target</x:v>
      </x:c>
      <x:c r="C14" s="10" t="str">
        <x:v>3 days with review intact and an earlier commercial decision.</x:v>
      </x:c>
      <x:c r="D14" s="1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53" customHeight="1">
      <x:c r="A15" s="2"/>
      <x:c r="B15" s="10" t="str">
        <x:v>Success measures</x:v>
      </x:c>
      <x:c r="C15" s="10" t="str">
        <x:v>Hours including rework; decision lead time; calculation accuracy.</x:v>
      </x:c>
      <x:c r="D15" s="1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3" customHeight="1">
      <x:c r="A16" s="2"/>
      <x:c r="B16" s="10" t="str">
        <x:v>Review and ownership</x:v>
      </x:c>
      <x:c r="C16" s="10" t="str">
        <x:v>Finance checks numbers. Sales challenges demand. Leader decides.</x:v>
      </x:c>
      <x:c r="D16" s="1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53" customHeight="1">
      <x:c r="A17" s="2"/>
      <x:c r="B17" s="10" t="str">
        <x:v>Next use</x:v>
      </x:c>
      <x:c r="C17" s="10" t="str">
        <x:v>Build and rerun the scenario workbook in ADVANCED.</x:v>
      </x:c>
      <x:c r="D17" s="1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0" customHeight="1">
      <x:c r="A20" s="2"/>
      <x:c r="B20" s="9" t="str">
        <x:v>Source ID</x:v>
      </x:c>
      <x:c r="C20" s="9" t="str">
        <x:v>Fictional source content</x:v>
      </x:c>
      <x:c r="D20" s="9" t="str">
        <x:v>Client source / access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7" customHeight="1">
      <x:c r="A21" s="2"/>
      <x:c r="B21" s="10" t="str">
        <x:v>S01</x:v>
      </x:c>
      <x:c r="C21" s="10" t="str">
        <x:v>10,000 units at £100; one teaching cycle.</x:v>
      </x:c>
      <x:c r="D21" s="1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7" customHeight="1">
      <x:c r="A22" s="2"/>
      <x:c r="B22" s="10" t="str">
        <x:v>S02</x:v>
      </x:c>
      <x:c r="C22" s="10" t="str">
        <x:v>Product cost £60 per unit; current freight £5.</x:v>
      </x:c>
      <x:c r="D22" s="1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7" customHeight="1">
      <x:c r="A23" s="2"/>
      <x:c r="B23" s="10" t="str">
        <x:v>S03</x:v>
      </x:c>
      <x:c r="C23" s="10" t="str">
        <x:v>Freight proposal £8 per unit for the next cycle.</x:v>
      </x:c>
      <x:c r="D23" s="1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 t="str">
        <x:v>Source pack is fictional. Do not upload real data unless its use in the chosen tool is approved.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FP&amp;A scenario workbook</x:v>
      </x:c>
      <x:c r="C2" s="6"/>
      <x:c r="D2" s="6"/>
      <x:c r="E2" s="6"/>
      <x:c r="F2" s="6"/>
      <x:c r="G2" s="6"/>
      <x:c r="H2" s="6"/>
      <x:c r="I2" s="6"/>
      <x:c r="J2" s="6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ADVANCED. Fictional independent teaching cases, matching the deck. Contribution is before fixed costs and tax.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Option</x:v>
      </x:c>
      <x:c r="C6" s="9" t="str">
        <x:v>Units</x:v>
      </x:c>
      <x:c r="D6" s="9" t="str">
        <x:v>Price £</x:v>
      </x:c>
      <x:c r="E6" s="9" t="str">
        <x:v>Product £</x:v>
      </x:c>
      <x:c r="F6" s="9" t="str">
        <x:v>Freight £</x:v>
      </x:c>
      <x:c r="G6" s="9" t="str">
        <x:v>Revenue £</x:v>
      </x:c>
      <x:c r="H6" s="9" t="str">
        <x:v>Variable costs £</x:v>
      </x:c>
      <x:c r="I6" s="9" t="str">
        <x:v>Contribution £</x:v>
      </x:c>
      <x:c r="J6" s="9" t="str">
        <x:v>Margin</x:v>
      </x:c>
      <x:c r="K6" s="2"/>
      <x:c r="L6" s="2"/>
      <x:c r="M6" s="2"/>
      <x:c r="N6" s="2"/>
      <x:c r="O6" s="2"/>
      <x:c r="P6" s="2"/>
    </x:row>
    <x:row r="7" ht="34" customHeight="1">
      <x:c r="A7" s="2"/>
      <x:c r="B7" s="10" t="str">
        <x:v>Original freight</x:v>
      </x:c>
      <x:c r="C7" s="13" t="n">
        <x:v>10000</x:v>
      </x:c>
      <x:c r="D7" s="13" t="n">
        <x:v>100</x:v>
      </x:c>
      <x:c r="E7" s="13" t="n">
        <x:v>60</x:v>
      </x:c>
      <x:c r="F7" s="13" t="n">
        <x:v>5</x:v>
      </x:c>
      <x:c r="G7" s="18" t="n">
        <x:f>IF(COUNT(C7:F7)=4,C7*D7,"Input needed")</x:f>
        <x:v>1000000</x:v>
      </x:c>
      <x:c r="H7" s="18" t="n">
        <x:f>IF(COUNT(C7:F7)=4,C7*SUM(E7:F7),"Input needed")</x:f>
        <x:v>650000</x:v>
      </x:c>
      <x:c r="I7" s="18" t="n">
        <x:f>IF(COUNT(C7:F7)=4,G7-H7,"Input needed")</x:f>
        <x:v>350000</x:v>
      </x:c>
      <x:c r="J7" s="20" t="n">
        <x:f>IF(COUNT(C7:F7)=4,IF(G7=0,"n.a.",I7/G7),"Input needed")</x:f>
        <x:v>0.35</x:v>
      </x:c>
      <x:c r="K7" s="2"/>
      <x:c r="L7" s="2"/>
      <x:c r="M7" s="2"/>
      <x:c r="N7" s="2"/>
      <x:c r="O7" s="2"/>
      <x:c r="P7" s="2"/>
    </x:row>
    <x:row r="8" ht="34" customHeight="1">
      <x:c r="A8" s="2"/>
      <x:c r="B8" s="10" t="str">
        <x:v>Higher freight, same price</x:v>
      </x:c>
      <x:c r="C8" s="13" t="n">
        <x:v>10000</x:v>
      </x:c>
      <x:c r="D8" s="13" t="n">
        <x:v>100</x:v>
      </x:c>
      <x:c r="E8" s="13" t="n">
        <x:v>60</x:v>
      </x:c>
      <x:c r="F8" s="13" t="n">
        <x:v>8</x:v>
      </x:c>
      <x:c r="G8" s="18" t="n">
        <x:f>IF(COUNT(C8:F8)=4,C8*D8,"Input needed")</x:f>
        <x:v>1000000</x:v>
      </x:c>
      <x:c r="H8" s="18" t="n">
        <x:f>IF(COUNT(C8:F8)=4,C8*SUM(E8:F8),"Input needed")</x:f>
        <x:v>680000</x:v>
      </x:c>
      <x:c r="I8" s="18" t="n">
        <x:f>IF(COUNT(C8:F8)=4,G8-H8,"Input needed")</x:f>
        <x:v>320000</x:v>
      </x:c>
      <x:c r="J8" s="20" t="n">
        <x:f>IF(COUNT(C8:F8)=4,IF(G8=0,"n.a.",I8/G8),"Input needed")</x:f>
        <x:v>0.32</x:v>
      </x:c>
      <x:c r="K8" s="2"/>
      <x:c r="L8" s="2"/>
      <x:c r="M8" s="2"/>
      <x:c r="N8" s="2"/>
      <x:c r="O8" s="2"/>
      <x:c r="P8" s="2"/>
    </x:row>
    <x:row r="9" ht="34" customHeight="1">
      <x:c r="A9" s="2"/>
      <x:c r="B9" s="10" t="str">
        <x:v>£103 price, volume held</x:v>
      </x:c>
      <x:c r="C9" s="13" t="n">
        <x:v>10000</x:v>
      </x:c>
      <x:c r="D9" s="13" t="n">
        <x:v>103</x:v>
      </x:c>
      <x:c r="E9" s="13" t="n">
        <x:v>60</x:v>
      </x:c>
      <x:c r="F9" s="13" t="n">
        <x:v>8</x:v>
      </x:c>
      <x:c r="G9" s="18" t="n">
        <x:f>IF(COUNT(C9:F9)=4,C9*D9,"Input needed")</x:f>
        <x:v>1030000</x:v>
      </x:c>
      <x:c r="H9" s="18" t="n">
        <x:f>IF(COUNT(C9:F9)=4,C9*SUM(E9:F9),"Input needed")</x:f>
        <x:v>680000</x:v>
      </x:c>
      <x:c r="I9" s="18" t="n">
        <x:f>IF(COUNT(C9:F9)=4,G9-H9,"Input needed")</x:f>
        <x:v>350000</x:v>
      </x:c>
      <x:c r="J9" s="20" t="n">
        <x:f>IF(COUNT(C9:F9)=4,IF(G9=0,"n.a.",I9/G9),"Input needed")</x:f>
        <x:v>0.33980582524271846</x:v>
      </x:c>
      <x:c r="K9" s="2"/>
      <x:c r="L9" s="2"/>
      <x:c r="M9" s="2"/>
      <x:c r="N9" s="2"/>
      <x:c r="O9" s="2"/>
      <x:c r="P9" s="2"/>
    </x:row>
    <x:row r="10" ht="34" customHeight="1">
      <x:c r="A10" s="2"/>
      <x:c r="B10" s="10" t="str">
        <x:v>£103 price, volume down 3%</x:v>
      </x:c>
      <x:c r="C10" s="13" t="n">
        <x:v>9700</x:v>
      </x:c>
      <x:c r="D10" s="13" t="n">
        <x:v>103</x:v>
      </x:c>
      <x:c r="E10" s="13" t="n">
        <x:v>60</x:v>
      </x:c>
      <x:c r="F10" s="13" t="n">
        <x:v>8</x:v>
      </x:c>
      <x:c r="G10" s="18" t="n">
        <x:f>IF(COUNT(C10:F10)=4,C10*D10,"Input needed")</x:f>
        <x:v>999100</x:v>
      </x:c>
      <x:c r="H10" s="18" t="n">
        <x:f>IF(COUNT(C10:F10)=4,C10*SUM(E10:F10),"Input needed")</x:f>
        <x:v>659600</x:v>
      </x:c>
      <x:c r="I10" s="18" t="n">
        <x:f>IF(COUNT(C10:F10)=4,G10-H10,"Input needed")</x:f>
        <x:v>339500</x:v>
      </x:c>
      <x:c r="J10" s="20" t="n">
        <x:f>IF(COUNT(C10:F10)=4,IF(G10=0,"n.a.",I10/G10),"Input needed")</x:f>
        <x:v>0.33980582524271846</x:v>
      </x:c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0" customHeight="1">
      <x:c r="A13" s="2"/>
      <x:c r="B13" s="9" t="str">
        <x:v>Decision test</x:v>
      </x:c>
      <x:c r="C13" s="9" t="str">
        <x:v>Result £</x:v>
      </x:c>
      <x:c r="D13" s="9" t="str">
        <x:v>Interpretation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8" customHeight="1">
      <x:c r="A14" s="2"/>
      <x:c r="B14" s="2" t="str">
        <x:v>Contribution loss from freight</x:v>
      </x:c>
      <x:c r="C14" s="18" t="n">
        <x:f>I8-I7</x:f>
        <x:v>-30000</x:v>
      </x:c>
      <x:c r="D14" s="32" t="str">
        <x:v>Loss versus original case</x:v>
      </x:c>
      <x:c r="E14" s="32"/>
      <x:c r="F14" s="3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8" customHeight="1">
      <x:c r="A15" s="2"/>
      <x:c r="B15" s="2" t="str">
        <x:v>Price response with volume held</x:v>
      </x:c>
      <x:c r="C15" s="18" t="n">
        <x:f>I9-I8</x:f>
        <x:v>30000</x:v>
      </x:c>
      <x:c r="D15" s="32" t="str">
        <x:v>Recovery is conditional on volume</x:v>
      </x:c>
      <x:c r="E15" s="32"/>
      <x:c r="F15" s="3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8" customHeight="1">
      <x:c r="A16" s="2"/>
      <x:c r="B16" s="2" t="str">
        <x:v>Price response with lower volume</x:v>
      </x:c>
      <x:c r="C16" s="18" t="n">
        <x:f>I10-I8</x:f>
        <x:v>19500</x:v>
      </x:c>
      <x:c r="D16" s="32" t="str">
        <x:v>£19,500 recovery; demand assumption untested</x:v>
      </x:c>
      <x:c r="E16" s="32"/>
      <x:c r="F16" s="3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 t="str">
        <x:v>Decision: Sales tests willingness to pay before the leader selects a response. No margin gain enters the ROI model.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0" customHeight="1">
      <x:c r="A22" s="2"/>
      <x:c r="B22" s="9" t="str">
        <x:v>Verification test</x:v>
      </x:c>
      <x:c r="C22" s="9" t="str">
        <x:v>Expected</x:v>
      </x:c>
      <x:c r="D22" s="9" t="str">
        <x:v>Calculated</x:v>
      </x:c>
      <x:c r="E22" s="9" t="str">
        <x:v>Difference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8" customHeight="1">
      <x:c r="A23" s="2"/>
      <x:c r="B23" s="10" t="str">
        <x:v>Original contribution</x:v>
      </x:c>
      <x:c r="C23" s="33" t="n">
        <x:v>350000</x:v>
      </x:c>
      <x:c r="D23" s="34" t="n">
        <x:f>I7</x:f>
        <x:v>350000</x:v>
      </x:c>
      <x:c r="E23" s="34" t="n">
        <x:f>D23-C23</x:f>
        <x:v>0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8" customHeight="1">
      <x:c r="A24" s="2"/>
      <x:c r="B24" s="10" t="str">
        <x:v>Higher freight contribution</x:v>
      </x:c>
      <x:c r="C24" s="33" t="n">
        <x:v>320000</x:v>
      </x:c>
      <x:c r="D24" s="34" t="n">
        <x:f>I8</x:f>
        <x:v>320000</x:v>
      </x:c>
      <x:c r="E24" s="34" t="n">
        <x:f>D24-C24</x:f>
        <x:v>0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8" customHeight="1">
      <x:c r="A25" s="2"/>
      <x:c r="B25" s="10" t="str">
        <x:v>Price response contribution</x:v>
      </x:c>
      <x:c r="C25" s="33" t="n">
        <x:v>350000</x:v>
      </x:c>
      <x:c r="D25" s="34" t="n">
        <x:f>I9</x:f>
        <x:v>350000</x:v>
      </x:c>
      <x:c r="E25" s="34" t="n">
        <x:f>D25-C25</x:f>
        <x:v>0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8" customHeight="1">
      <x:c r="A26" s="2"/>
      <x:c r="B26" s="10" t="str">
        <x:v>3% volume reduction contribution</x:v>
      </x:c>
      <x:c r="C26" s="33" t="n">
        <x:v>339500</x:v>
      </x:c>
      <x:c r="D26" s="34" t="n">
        <x:f>I10</x:f>
        <x:v>339500</x:v>
      </x:c>
      <x:c r="E26" s="34" t="n">
        <x:f>D26-C26</x:f>
        <x:v>0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 t="str">
        <x:v>Sources S01–S03: TEAM Brief. Test expectations apply only to the original teaching inputs.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conditionalFormatting sqref="E23:E26">
    <x:cfRule type="expression" dxfId="1" priority="1">
      <x:formula>ABS(E23)&gt;0.01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Treasury cash forecast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2"/>
    </x:row>
    <x:row r="3" ht="23" customHeight="1">
      <x:c r="A3" s="2"/>
      <x:c r="B3" s="4" t="str">
        <x:v>ADVANCED. Fictional cash case, independent of the FP&amp;A model. All amounts £000.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 t="str">
        <x:v>Minimum cash buffer (£000)</x:v>
      </x:c>
      <x:c r="C5" s="36" t="n">
        <x:v>300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0" customHeight="1">
      <x:c r="A7" s="2"/>
      <x:c r="B7" s="9" t="str">
        <x:v>Week</x:v>
      </x:c>
      <x:c r="C7" s="9" t="str">
        <x:v>W1</x:v>
      </x:c>
      <x:c r="D7" s="9" t="str">
        <x:v>W2</x:v>
      </x:c>
      <x:c r="E7" s="9" t="str">
        <x:v>W3</x:v>
      </x:c>
      <x:c r="F7" s="9" t="str">
        <x:v>W4</x:v>
      </x:c>
      <x:c r="G7" s="9" t="str">
        <x:v>W5</x:v>
      </x:c>
      <x:c r="H7" s="9" t="str">
        <x:v>W6</x:v>
      </x:c>
      <x:c r="I7" s="9" t="str">
        <x:v>W7</x:v>
      </x:c>
      <x:c r="J7" s="9" t="str">
        <x:v>W8</x:v>
      </x:c>
      <x:c r="K7" s="9" t="str">
        <x:v>W9</x:v>
      </x:c>
      <x:c r="L7" s="9" t="str">
        <x:v>W10</x:v>
      </x:c>
      <x:c r="M7" s="9" t="str">
        <x:v>W11</x:v>
      </x:c>
      <x:c r="N7" s="9" t="str">
        <x:v>W12</x:v>
      </x:c>
      <x:c r="O7" s="9" t="str">
        <x:v>W13</x:v>
      </x:c>
      <x:c r="P7" s="2"/>
    </x:row>
    <x:row r="8" ht="23" customHeight="1">
      <x:c r="A8" s="2"/>
      <x:c r="B8" s="2" t="str">
        <x:v>Receipts</x:v>
      </x:c>
      <x:c r="C8" s="37" t="n">
        <x:v>300</x:v>
      </x:c>
      <x:c r="D8" s="37" t="n">
        <x:v>350</x:v>
      </x:c>
      <x:c r="E8" s="37" t="n">
        <x:v>250</x:v>
      </x:c>
      <x:c r="F8" s="37" t="n">
        <x:v>400</x:v>
      </x:c>
      <x:c r="G8" s="37" t="n">
        <x:v>420</x:v>
      </x:c>
      <x:c r="H8" s="37" t="n">
        <x:v>380</x:v>
      </x:c>
      <x:c r="I8" s="37" t="n">
        <x:v>450</x:v>
      </x:c>
      <x:c r="J8" s="37" t="n">
        <x:v>420</x:v>
      </x:c>
      <x:c r="K8" s="37" t="n">
        <x:v>400</x:v>
      </x:c>
      <x:c r="L8" s="37" t="n">
        <x:v>460</x:v>
      </x:c>
      <x:c r="M8" s="37" t="n">
        <x:v>430</x:v>
      </x:c>
      <x:c r="N8" s="37" t="n">
        <x:v>480</x:v>
      </x:c>
      <x:c r="O8" s="37" t="n">
        <x:v>450</x:v>
      </x:c>
      <x:c r="P8" s="2"/>
    </x:row>
    <x:row r="9" ht="23" customHeight="1">
      <x:c r="A9" s="2"/>
      <x:c r="B9" s="2" t="str">
        <x:v>Payments</x:v>
      </x:c>
      <x:c r="C9" s="37" t="n">
        <x:v>350</x:v>
      </x:c>
      <x:c r="D9" s="37" t="n">
        <x:v>400</x:v>
      </x:c>
      <x:c r="E9" s="37" t="n">
        <x:v>400</x:v>
      </x:c>
      <x:c r="F9" s="37" t="n">
        <x:v>350</x:v>
      </x:c>
      <x:c r="G9" s="37" t="n">
        <x:v>390</x:v>
      </x:c>
      <x:c r="H9" s="37" t="n">
        <x:v>400</x:v>
      </x:c>
      <x:c r="I9" s="37" t="n">
        <x:v>410</x:v>
      </x:c>
      <x:c r="J9" s="37" t="n">
        <x:v>420</x:v>
      </x:c>
      <x:c r="K9" s="37" t="n">
        <x:v>430</x:v>
      </x:c>
      <x:c r="L9" s="37" t="n">
        <x:v>400</x:v>
      </x:c>
      <x:c r="M9" s="37" t="n">
        <x:v>450</x:v>
      </x:c>
      <x:c r="N9" s="37" t="n">
        <x:v>420</x:v>
      </x:c>
      <x:c r="O9" s="37" t="n">
        <x:v>430</x:v>
      </x:c>
      <x:c r="P9" s="2"/>
    </x:row>
    <x:row r="10" ht="23" customHeight="1">
      <x:c r="A10" s="2"/>
      <x:c r="B10" s="2" t="str">
        <x:v>Initial cash input</x:v>
      </x:c>
      <x:c r="C10" s="37" t="n">
        <x:v>500</x:v>
      </x:c>
      <x:c r="D10" s="38"/>
      <x:c r="E10" s="38"/>
      <x:c r="F10" s="38"/>
      <x:c r="G10" s="38"/>
      <x:c r="H10" s="38"/>
      <x:c r="I10" s="38"/>
      <x:c r="J10" s="38"/>
      <x:c r="K10" s="38"/>
      <x:c r="L10" s="38"/>
      <x:c r="M10" s="38"/>
      <x:c r="N10" s="38"/>
      <x:c r="O10" s="38"/>
      <x:c r="P10" s="2"/>
    </x:row>
    <x:row r="11" ht="23" customHeight="1">
      <x:c r="A11" s="2"/>
      <x:c r="B11" s="2" t="str">
        <x:v>Opening cash</x:v>
      </x:c>
      <x:c r="C11" s="39" t="n">
        <x:f>IF(ISNUMBER(C10),C10,"Input needed")</x:f>
        <x:v>500</x:v>
      </x:c>
      <x:c r="D11" s="39" t="n">
        <x:f>C12</x:f>
        <x:v>450</x:v>
      </x:c>
      <x:c r="E11" s="39" t="n">
        <x:f>D12</x:f>
        <x:v>400</x:v>
      </x:c>
      <x:c r="F11" s="39" t="n">
        <x:f>E12</x:f>
        <x:v>250</x:v>
      </x:c>
      <x:c r="G11" s="39" t="n">
        <x:f>F12</x:f>
        <x:v>300</x:v>
      </x:c>
      <x:c r="H11" s="39" t="n">
        <x:f>G12</x:f>
        <x:v>330</x:v>
      </x:c>
      <x:c r="I11" s="39" t="n">
        <x:f>H12</x:f>
        <x:v>310</x:v>
      </x:c>
      <x:c r="J11" s="39" t="n">
        <x:f>I12</x:f>
        <x:v>350</x:v>
      </x:c>
      <x:c r="K11" s="39" t="n">
        <x:f>J12</x:f>
        <x:v>350</x:v>
      </x:c>
      <x:c r="L11" s="39" t="n">
        <x:f>K12</x:f>
        <x:v>320</x:v>
      </x:c>
      <x:c r="M11" s="39" t="n">
        <x:f>L12</x:f>
        <x:v>380</x:v>
      </x:c>
      <x:c r="N11" s="39" t="n">
        <x:f>M12</x:f>
        <x:v>360</x:v>
      </x:c>
      <x:c r="O11" s="39" t="n">
        <x:f>N12</x:f>
        <x:v>420</x:v>
      </x:c>
      <x:c r="P11" s="2"/>
    </x:row>
    <x:row r="12" ht="23" customHeight="1">
      <x:c r="A12" s="2"/>
      <x:c r="B12" s="2" t="str">
        <x:v>Closing cash</x:v>
      </x:c>
      <x:c r="C12" s="39" t="n">
        <x:f>IF(COUNT(C8:C9,C11)=3,C11+C8-C9,"Input needed")</x:f>
        <x:v>450</x:v>
      </x:c>
      <x:c r="D12" s="39" t="n">
        <x:f>IF(COUNT(D8:D9,D11)=3,D11+D8-D9,"Input needed")</x:f>
        <x:v>400</x:v>
      </x:c>
      <x:c r="E12" s="39" t="n">
        <x:f>IF(COUNT(E8:E9,E11)=3,E11+E8-E9,"Input needed")</x:f>
        <x:v>250</x:v>
      </x:c>
      <x:c r="F12" s="39" t="n">
        <x:f>IF(COUNT(F8:F9,F11)=3,F11+F8-F9,"Input needed")</x:f>
        <x:v>300</x:v>
      </x:c>
      <x:c r="G12" s="39" t="n">
        <x:f>IF(COUNT(G8:G9,G11)=3,G11+G8-G9,"Input needed")</x:f>
        <x:v>330</x:v>
      </x:c>
      <x:c r="H12" s="39" t="n">
        <x:f>IF(COUNT(H8:H9,H11)=3,H11+H8-H9,"Input needed")</x:f>
        <x:v>310</x:v>
      </x:c>
      <x:c r="I12" s="39" t="n">
        <x:f>IF(COUNT(I8:I9,I11)=3,I11+I8-I9,"Input needed")</x:f>
        <x:v>350</x:v>
      </x:c>
      <x:c r="J12" s="39" t="n">
        <x:f>IF(COUNT(J8:J9,J11)=3,J11+J8-J9,"Input needed")</x:f>
        <x:v>350</x:v>
      </x:c>
      <x:c r="K12" s="39" t="n">
        <x:f>IF(COUNT(K8:K9,K11)=3,K11+K8-K9,"Input needed")</x:f>
        <x:v>320</x:v>
      </x:c>
      <x:c r="L12" s="39" t="n">
        <x:f>IF(COUNT(L8:L9,L11)=3,L11+L8-L9,"Input needed")</x:f>
        <x:v>380</x:v>
      </x:c>
      <x:c r="M12" s="39" t="n">
        <x:f>IF(COUNT(M8:M9,M11)=3,M11+M8-M9,"Input needed")</x:f>
        <x:v>360</x:v>
      </x:c>
      <x:c r="N12" s="39" t="n">
        <x:f>IF(COUNT(N8:N9,N11)=3,N11+N8-N9,"Input needed")</x:f>
        <x:v>420</x:v>
      </x:c>
      <x:c r="O12" s="39" t="n">
        <x:f>IF(COUNT(O8:O9,O11)=3,O11+O8-O9,"Input needed")</x:f>
        <x:v>440</x:v>
      </x:c>
      <x:c r="P12" s="2"/>
    </x:row>
    <x:row r="13" ht="23" customHeight="1">
      <x:c r="A13" s="2"/>
      <x:c r="B13" s="2" t="str">
        <x:v>Buffer</x:v>
      </x:c>
      <x:c r="C13" s="39" t="n">
        <x:f>IF(ISNUMBER($C$5),$C$5,"Input needed")</x:f>
        <x:v>300</x:v>
      </x:c>
      <x:c r="D13" s="39" t="n">
        <x:f>IF(ISNUMBER($C$5),$C$5,"Input needed")</x:f>
        <x:v>300</x:v>
      </x:c>
      <x:c r="E13" s="39" t="n">
        <x:f>IF(ISNUMBER($C$5),$C$5,"Input needed")</x:f>
        <x:v>300</x:v>
      </x:c>
      <x:c r="F13" s="39" t="n">
        <x:f>IF(ISNUMBER($C$5),$C$5,"Input needed")</x:f>
        <x:v>300</x:v>
      </x:c>
      <x:c r="G13" s="39" t="n">
        <x:f>IF(ISNUMBER($C$5),$C$5,"Input needed")</x:f>
        <x:v>300</x:v>
      </x:c>
      <x:c r="H13" s="39" t="n">
        <x:f>IF(ISNUMBER($C$5),$C$5,"Input needed")</x:f>
        <x:v>300</x:v>
      </x:c>
      <x:c r="I13" s="39" t="n">
        <x:f>IF(ISNUMBER($C$5),$C$5,"Input needed")</x:f>
        <x:v>300</x:v>
      </x:c>
      <x:c r="J13" s="39" t="n">
        <x:f>IF(ISNUMBER($C$5),$C$5,"Input needed")</x:f>
        <x:v>300</x:v>
      </x:c>
      <x:c r="K13" s="39" t="n">
        <x:f>IF(ISNUMBER($C$5),$C$5,"Input needed")</x:f>
        <x:v>300</x:v>
      </x:c>
      <x:c r="L13" s="39" t="n">
        <x:f>IF(ISNUMBER($C$5),$C$5,"Input needed")</x:f>
        <x:v>300</x:v>
      </x:c>
      <x:c r="M13" s="39" t="n">
        <x:f>IF(ISNUMBER($C$5),$C$5,"Input needed")</x:f>
        <x:v>300</x:v>
      </x:c>
      <x:c r="N13" s="39" t="n">
        <x:f>IF(ISNUMBER($C$5),$C$5,"Input needed")</x:f>
        <x:v>300</x:v>
      </x:c>
      <x:c r="O13" s="39" t="n">
        <x:f>IF(ISNUMBER($C$5),$C$5,"Input needed")</x:f>
        <x:v>300</x:v>
      </x:c>
      <x:c r="P13" s="2"/>
    </x:row>
    <x:row r="14" ht="23" customHeight="1">
      <x:c r="A14" s="2"/>
      <x:c r="B14" s="2" t="str">
        <x:v>Headroom</x:v>
      </x:c>
      <x:c r="C14" s="39" t="n">
        <x:f>IF(COUNT(C12:C13)=2,C12-C13,"Input needed")</x:f>
        <x:v>150</x:v>
      </x:c>
      <x:c r="D14" s="39" t="n">
        <x:f>IF(COUNT(D12:D13)=2,D12-D13,"Input needed")</x:f>
        <x:v>100</x:v>
      </x:c>
      <x:c r="E14" s="39" t="n">
        <x:f>IF(COUNT(E12:E13)=2,E12-E13,"Input needed")</x:f>
        <x:v>-50</x:v>
      </x:c>
      <x:c r="F14" s="39" t="n">
        <x:f>IF(COUNT(F12:F13)=2,F12-F13,"Input needed")</x:f>
        <x:v>0</x:v>
      </x:c>
      <x:c r="G14" s="39" t="n">
        <x:f>IF(COUNT(G12:G13)=2,G12-G13,"Input needed")</x:f>
        <x:v>30</x:v>
      </x:c>
      <x:c r="H14" s="39" t="n">
        <x:f>IF(COUNT(H12:H13)=2,H12-H13,"Input needed")</x:f>
        <x:v>10</x:v>
      </x:c>
      <x:c r="I14" s="39" t="n">
        <x:f>IF(COUNT(I12:I13)=2,I12-I13,"Input needed")</x:f>
        <x:v>50</x:v>
      </x:c>
      <x:c r="J14" s="39" t="n">
        <x:f>IF(COUNT(J12:J13)=2,J12-J13,"Input needed")</x:f>
        <x:v>50</x:v>
      </x:c>
      <x:c r="K14" s="39" t="n">
        <x:f>IF(COUNT(K12:K13)=2,K12-K13,"Input needed")</x:f>
        <x:v>20</x:v>
      </x:c>
      <x:c r="L14" s="39" t="n">
        <x:f>IF(COUNT(L12:L13)=2,L12-L13,"Input needed")</x:f>
        <x:v>80</x:v>
      </x:c>
      <x:c r="M14" s="39" t="n">
        <x:f>IF(COUNT(M12:M13)=2,M12-M13,"Input needed")</x:f>
        <x:v>60</x:v>
      </x:c>
      <x:c r="N14" s="39" t="n">
        <x:f>IF(COUNT(N12:N13)=2,N12-N13,"Input needed")</x:f>
        <x:v>120</x:v>
      </x:c>
      <x:c r="O14" s="39" t="n">
        <x:f>IF(COUNT(O12:O13)=2,O12-O13,"Input needed")</x:f>
        <x:v>140</x:v>
      </x:c>
      <x:c r="P14" s="2"/>
    </x:row>
    <x:row r="15" ht="23" customHeight="1">
      <x:c r="A15" s="2"/>
      <x:c r="B15" s="2" t="str">
        <x:v>Roll-forward difference</x:v>
      </x:c>
      <x:c r="C15" s="22" t="n">
        <x:f>IF(COUNT(C8:C9,C11:C12)=4,C11+C8-C9-C12,"Input needed")</x:f>
        <x:v>0</x:v>
      </x:c>
      <x:c r="D15" s="22" t="n">
        <x:f>IF(COUNT(D8:D9,D11:D12)=4,D11+D8-D9-D12,"Input needed")</x:f>
        <x:v>0</x:v>
      </x:c>
      <x:c r="E15" s="22" t="n">
        <x:f>IF(COUNT(E8:E9,E11:E12)=4,E11+E8-E9-E12,"Input needed")</x:f>
        <x:v>0</x:v>
      </x:c>
      <x:c r="F15" s="22" t="n">
        <x:f>IF(COUNT(F8:F9,F11:F12)=4,F11+F8-F9-F12,"Input needed")</x:f>
        <x:v>0</x:v>
      </x:c>
      <x:c r="G15" s="22" t="n">
        <x:f>IF(COUNT(G8:G9,G11:G12)=4,G11+G8-G9-G12,"Input needed")</x:f>
        <x:v>0</x:v>
      </x:c>
      <x:c r="H15" s="22" t="n">
        <x:f>IF(COUNT(H8:H9,H11:H12)=4,H11+H8-H9-H12,"Input needed")</x:f>
        <x:v>0</x:v>
      </x:c>
      <x:c r="I15" s="22" t="n">
        <x:f>IF(COUNT(I8:I9,I11:I12)=4,I11+I8-I9-I12,"Input needed")</x:f>
        <x:v>0</x:v>
      </x:c>
      <x:c r="J15" s="22" t="n">
        <x:f>IF(COUNT(J8:J9,J11:J12)=4,J11+J8-J9-J12,"Input needed")</x:f>
        <x:v>0</x:v>
      </x:c>
      <x:c r="K15" s="22" t="n">
        <x:f>IF(COUNT(K8:K9,K11:K12)=4,K11+K8-K9-K12,"Input needed")</x:f>
        <x:v>0</x:v>
      </x:c>
      <x:c r="L15" s="22" t="n">
        <x:f>IF(COUNT(L8:L9,L11:L12)=4,L11+L8-L9-L12,"Input needed")</x:f>
        <x:v>0</x:v>
      </x:c>
      <x:c r="M15" s="22" t="n">
        <x:f>IF(COUNT(M8:M9,M11:M12)=4,M11+M8-M9-M12,"Input needed")</x:f>
        <x:v>0</x:v>
      </x:c>
      <x:c r="N15" s="22" t="n">
        <x:f>IF(COUNT(N8:N9,N11:N12)=4,N11+N8-N9-N12,"Input needed")</x:f>
        <x:v>0</x:v>
      </x:c>
      <x:c r="O15" s="22" t="n">
        <x:f>IF(COUNT(O8:O9,O11:O12)=4,O11+O8-O9-O12,"Input needed")</x:f>
        <x:v>0</x:v>
      </x:c>
      <x:c r="P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0" customHeight="1">
      <x:c r="A18" s="2"/>
      <x:c r="B18" s="9" t="str">
        <x:v>Action</x:v>
      </x:c>
      <x:c r="C18" s="9" t="str">
        <x:v>Owner</x:v>
      </x:c>
      <x:c r="D18" s="9" t="str">
        <x:v>Due</x:v>
      </x:c>
      <x:c r="E18" s="9" t="str">
        <x:v>Status</x:v>
      </x:c>
      <x:c r="F18" s="9" t="str">
        <x:v>Evidence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5" customHeight="1">
      <x:c r="A19" s="2"/>
      <x:c r="B19" s="10" t="str">
        <x:v>Validate W3 receipts</x:v>
      </x:c>
      <x:c r="C19" s="10" t="str">
        <x:v>AR lead</x:v>
      </x:c>
      <x:c r="D19" s="10" t="str">
        <x:v>Before W2 review</x:v>
      </x:c>
      <x:c r="E19" s="10" t="str">
        <x:v>Open</x:v>
      </x:c>
      <x:c r="F19" s="10" t="str">
        <x:v>Customer timing confirmation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5" customHeight="1">
      <x:c r="A20" s="2"/>
      <x:c r="B20" s="10" t="str">
        <x:v>Compare permitted responses</x:v>
      </x:c>
      <x:c r="C20" s="10" t="str">
        <x:v>Treasurer</x:v>
      </x:c>
      <x:c r="D20" s="10" t="str">
        <x:v>Before W2 review</x:v>
      </x:c>
      <x:c r="E20" s="10" t="str">
        <x:v>Open</x:v>
      </x:c>
      <x:c r="F20" s="10" t="str">
        <x:v>Options and approvals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5" customHeight="1">
      <x:c r="A21" s="2"/>
      <x:c r="B21" s="10" t="str">
        <x:v>Escalate projected shortfall</x:v>
      </x:c>
      <x:c r="C21" s="10" t="str">
        <x:v>Treasurer</x:v>
      </x:c>
      <x:c r="D21" s="10" t="str">
        <x:v>Before W3</x:v>
      </x:c>
      <x:c r="E21" s="10" t="str">
        <x:v>Open</x:v>
      </x:c>
      <x:c r="F21" s="10" t="str">
        <x:v>CFO action record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0" customHeight="1">
      <x:c r="A24" s="2"/>
      <x:c r="B24" s="9" t="str">
        <x:v>Week</x:v>
      </x:c>
      <x:c r="C24" s="9" t="str">
        <x:v>Closing cash £000</x:v>
      </x:c>
      <x:c r="D24" s="9" t="str">
        <x:v>Buffer £000</x:v>
      </x:c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 t="str">
        <x:v>W1</x:v>
      </x:c>
      <x:c r="C25" s="17" t="n">
        <x:f>C12</x:f>
        <x:v>450</x:v>
      </x:c>
      <x:c r="D25" s="17" t="n">
        <x:f>C13</x:f>
        <x:v>300</x:v>
      </x:c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 t="str">
        <x:v>W2</x:v>
      </x:c>
      <x:c r="C26" s="17" t="n">
        <x:f>D12</x:f>
        <x:v>400</x:v>
      </x:c>
      <x:c r="D26" s="17" t="n">
        <x:f>D13</x:f>
        <x:v>300</x:v>
      </x:c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 t="str">
        <x:v>W3</x:v>
      </x:c>
      <x:c r="C27" s="17" t="n">
        <x:f>E12</x:f>
        <x:v>250</x:v>
      </x:c>
      <x:c r="D27" s="17" t="n">
        <x:f>E13</x:f>
        <x:v>300</x:v>
      </x:c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 t="str">
        <x:v>W4</x:v>
      </x:c>
      <x:c r="C28" s="17" t="n">
        <x:f>F12</x:f>
        <x:v>300</x:v>
      </x:c>
      <x:c r="D28" s="17" t="n">
        <x:f>F13</x:f>
        <x:v>300</x:v>
      </x:c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 t="str">
        <x:v>W5</x:v>
      </x:c>
      <x:c r="C29" s="17" t="n">
        <x:f>G12</x:f>
        <x:v>330</x:v>
      </x:c>
      <x:c r="D29" s="17" t="n">
        <x:f>G13</x:f>
        <x:v>300</x:v>
      </x:c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 t="str">
        <x:v>W6</x:v>
      </x:c>
      <x:c r="C30" s="17" t="n">
        <x:f>H12</x:f>
        <x:v>310</x:v>
      </x:c>
      <x:c r="D30" s="17" t="n">
        <x:f>H13</x:f>
        <x:v>300</x:v>
      </x:c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 t="str">
        <x:v>W7</x:v>
      </x:c>
      <x:c r="C31" s="17" t="n">
        <x:f>I12</x:f>
        <x:v>350</x:v>
      </x:c>
      <x:c r="D31" s="17" t="n">
        <x:f>I13</x:f>
        <x:v>300</x:v>
      </x:c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 t="str">
        <x:v>W8</x:v>
      </x:c>
      <x:c r="C32" s="17" t="n">
        <x:f>J12</x:f>
        <x:v>350</x:v>
      </x:c>
      <x:c r="D32" s="17" t="n">
        <x:f>J13</x:f>
        <x:v>300</x:v>
      </x:c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 t="str">
        <x:v>W9</x:v>
      </x:c>
      <x:c r="C33" s="17" t="n">
        <x:f>K12</x:f>
        <x:v>320</x:v>
      </x:c>
      <x:c r="D33" s="17" t="n">
        <x:f>K13</x:f>
        <x:v>300</x:v>
      </x:c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 t="str">
        <x:v>W10</x:v>
      </x:c>
      <x:c r="C34" s="17" t="n">
        <x:f>L12</x:f>
        <x:v>380</x:v>
      </x:c>
      <x:c r="D34" s="17" t="n">
        <x:f>L13</x:f>
        <x:v>300</x:v>
      </x:c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 t="str">
        <x:v>W11</x:v>
      </x:c>
      <x:c r="C35" s="17" t="n">
        <x:f>M12</x:f>
        <x:v>360</x:v>
      </x:c>
      <x:c r="D35" s="17" t="n">
        <x:f>M13</x:f>
        <x:v>300</x:v>
      </x:c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 t="str">
        <x:v>W12</x:v>
      </x:c>
      <x:c r="C36" s="17" t="n">
        <x:f>N12</x:f>
        <x:v>420</x:v>
      </x:c>
      <x:c r="D36" s="17" t="n">
        <x:f>N13</x:f>
        <x:v>300</x:v>
      </x:c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 t="str">
        <x:v>W13</x:v>
      </x:c>
      <x:c r="C37" s="17" t="n">
        <x:f>O12</x:f>
        <x:v>440</x:v>
      </x:c>
      <x:c r="D37" s="17" t="n">
        <x:f>O13</x:f>
        <x:v>300</x:v>
      </x:c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 t="str">
        <x:v>Source: fictional receipts and payments for this teaching case. The buffer is not a covenant.</x:v>
      </x:c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conditionalFormatting sqref="C14:O14">
    <x:cfRule type="expression" dxfId="2" priority="1">
      <x:formula>C14&lt;0</x:formula>
    </x:cfRule>
  </x:conditionalFormatting>
  <x:conditionalFormatting sqref="C15:O15">
    <x:cfRule type="expression" dxfId="3" priority="2">
      <x:formula>ABS(C15)&gt;0.01</x:formula>
    </x:cfRule>
  </x:conditionalFormatting>
  <x:pageMargins left="0.7" right="0.7" top="0.75" bottom="0.75" header="0.3" footer="0.3"/>
  <x:drawing xmlns:r="http://schemas.openxmlformats.org/officeDocument/2006/relationships" r:id="R4bfdd192f4ca4e7c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46" hidden="0" customWidth="1"/>
    <x:col min="4" max="4" width="25" hidden="0" customWidth="1"/>
    <x:col min="5" max="5" width="24" hidden="0" customWidth="1"/>
    <x:col min="6" max="6" width="25" hidden="0" customWidth="1"/>
    <x:col min="7" max="7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IR evidence and answer pack</x:v>
      </x:c>
      <x:c r="C2" s="6"/>
      <x:c r="D2" s="6"/>
      <x:c r="E2" s="6"/>
      <x:c r="F2" s="6"/>
      <x:c r="G2" s="6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ADVANCED. Internal rehearsal only. External use requires the organisation’s disclosure approval.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Question</x:v>
      </x:c>
      <x:c r="C6" s="9" t="str">
        <x:v>Draft answer / fact</x:v>
      </x:c>
      <x:c r="D6" s="9" t="str">
        <x:v>Source</x:v>
      </x:c>
      <x:c r="E6" s="9" t="str">
        <x:v>Owner</x:v>
      </x:c>
      <x:c r="F6" s="9" t="str">
        <x:v>Review status</x:v>
      </x:c>
      <x:c r="G6" s="9" t="str">
        <x:v>Next action</x:v>
      </x:c>
      <x:c r="H6" s="2"/>
      <x:c r="I6" s="2"/>
      <x:c r="J6" s="2"/>
      <x:c r="K6" s="2"/>
      <x:c r="L6" s="2"/>
      <x:c r="M6" s="2"/>
      <x:c r="N6" s="2"/>
      <x:c r="O6" s="2"/>
      <x:c r="P6" s="2"/>
    </x:row>
    <x:row r="7" ht="76" customHeight="1">
      <x:c r="A7" s="2"/>
      <x:c r="B7" s="10" t="str">
        <x:v>Why has contribution changed?</x:v>
      </x:c>
      <x:c r="C7" s="10" t="str">
        <x:v>The model isolates the freight increase at unchanged price and volume.</x:v>
      </x:c>
      <x:c r="D7" s="10" t="str">
        <x:v>FP&amp;A, C14</x:v>
      </x:c>
      <x:c r="E7" s="10" t="str">
        <x:v>FP&amp;A lead</x:v>
      </x:c>
      <x:c r="F7" s="12" t="str">
        <x:v>Model only</x:v>
      </x:c>
      <x:c r="G7" s="12" t="str">
        <x:v>Check against approved actuals</x:v>
      </x:c>
      <x:c r="H7" s="2"/>
      <x:c r="I7" s="2"/>
      <x:c r="J7" s="2"/>
      <x:c r="K7" s="2"/>
      <x:c r="L7" s="2"/>
      <x:c r="M7" s="2"/>
      <x:c r="N7" s="2"/>
      <x:c r="O7" s="2"/>
      <x:c r="P7" s="2"/>
    </x:row>
    <x:row r="8" ht="76" customHeight="1">
      <x:c r="A8" s="2"/>
      <x:c r="B8" s="10" t="str">
        <x:v>Will price offset freight?</x:v>
      </x:c>
      <x:c r="C8" s="10" t="str">
        <x:v>Only if volume holds. The demand response is untested.</x:v>
      </x:c>
      <x:c r="D8" s="10" t="str">
        <x:v>FP&amp;A, options 3 and 4</x:v>
      </x:c>
      <x:c r="E8" s="10" t="str">
        <x:v>Commercial lead</x:v>
      </x:c>
      <x:c r="F8" s="12" t="str">
        <x:v>Assumption open</x:v>
      </x:c>
      <x:c r="G8" s="12" t="str">
        <x:v>Validate demand sensitivity</x:v>
      </x:c>
      <x:c r="H8" s="2"/>
      <x:c r="I8" s="2"/>
      <x:c r="J8" s="2"/>
      <x:c r="K8" s="2"/>
      <x:c r="L8" s="2"/>
      <x:c r="M8" s="2"/>
      <x:c r="N8" s="2"/>
      <x:c r="O8" s="2"/>
      <x:c r="P8" s="2"/>
    </x:row>
    <x:row r="9" ht="76" customHeight="1">
      <x:c r="A9" s="2"/>
      <x:c r="B9" s="10" t="str">
        <x:v>Can we describe a recovery?</x:v>
      </x:c>
      <x:c r="C9" s="10" t="str">
        <x:v>No recovery is established by a scenario calculation.</x:v>
      </x:c>
      <x:c r="D9" s="10" t="str">
        <x:v>Approved fact book needed</x:v>
      </x:c>
      <x:c r="E9" s="10" t="str">
        <x:v>IR + CFO</x:v>
      </x:c>
      <x:c r="F9" s="12" t="str">
        <x:v>Not approved</x:v>
      </x:c>
      <x:c r="G9" s="12" t="str">
        <x:v>Agree supported wording</x:v>
      </x:c>
      <x:c r="H9" s="2"/>
      <x:c r="I9" s="2"/>
      <x:c r="J9" s="2"/>
      <x:c r="K9" s="2"/>
      <x:c r="L9" s="2"/>
      <x:c r="M9" s="2"/>
      <x:c r="N9" s="2"/>
      <x:c r="O9" s="2"/>
      <x:c r="P9" s="2"/>
    </x:row>
    <x:row r="10" ht="76" customHeight="1">
      <x:c r="A10" s="2"/>
      <x:c r="B10" s="10" t="str">
        <x:v>When do we update the answer?</x:v>
      </x:c>
      <x:c r="C10" s="10" t="str">
        <x:v>After the agreed facts and review are complete.</x:v>
      </x:c>
      <x:c r="D10" s="10" t="str">
        <x:v>Approval log</x:v>
      </x:c>
      <x:c r="E10" s="10" t="str">
        <x:v>Head of IR</x:v>
      </x:c>
      <x:c r="F10" s="12" t="str">
        <x:v>Pending</x:v>
      </x:c>
      <x:c r="G10" s="12" t="str">
        <x:v>Record approval date</x:v>
      </x:c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0" customHeight="1">
      <x:c r="A13" s="2"/>
      <x:c r="B13" s="9" t="str">
        <x:v>Numeric fact</x:v>
      </x:c>
      <x:c r="C13" s="9" t="str">
        <x:v>Value £</x:v>
      </x:c>
      <x:c r="D13" s="9" t="str">
        <x:v>Link to calculation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3" customHeight="1">
      <x:c r="A14" s="2"/>
      <x:c r="B14" s="2" t="str">
        <x:v>Freight effect</x:v>
      </x:c>
      <x:c r="C14" s="40" t="n">
        <x:f>'FP&amp;A'!C14</x:f>
        <x:v>-30000</x:v>
      </x:c>
      <x:c r="D14" s="2" t="str">
        <x:v>FP&amp;A C14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/>
      <x:c r="B15" s="2" t="str">
        <x:v>Price recovery if volume holds</x:v>
      </x:c>
      <x:c r="C15" s="40" t="n">
        <x:f>'FP&amp;A'!C15</x:f>
        <x:v>30000</x:v>
      </x:c>
      <x:c r="D15" s="2" t="str">
        <x:v>FP&amp;A C15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/>
      <x:c r="B16" s="2" t="str">
        <x:v>Recovery if volume falls 3%</x:v>
      </x:c>
      <x:c r="C16" s="40" t="n">
        <x:f>'FP&amp;A'!C16</x:f>
        <x:v>19500</x:v>
      </x:c>
      <x:c r="D16" s="2" t="str">
        <x:v>FP&amp;A C16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0" customHeight="1">
      <x:c r="A20" s="2"/>
      <x:c r="B20" s="9" t="str">
        <x:v>Measure</x:v>
      </x:c>
      <x:c r="C20" s="9" t="str">
        <x:v>Definition</x:v>
      </x:c>
      <x:c r="D20" s="9" t="str">
        <x:v>Owner</x:v>
      </x:c>
      <x:c r="E20" s="9" t="str">
        <x:v>Target to agree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8" customHeight="1">
      <x:c r="A21" s="2"/>
      <x:c r="B21" s="10" t="str">
        <x:v>Evidence coverage</x:v>
      </x:c>
      <x:c r="C21" s="10" t="str">
        <x:v>Supported material claims / all material claims</x:v>
      </x:c>
      <x:c r="D21" s="10" t="str">
        <x:v>IR</x:v>
      </x:c>
      <x:c r="E21" s="10" t="str">
        <x:v>100%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8" customHeight="1">
      <x:c r="A22" s="2"/>
      <x:c r="B22" s="10" t="str">
        <x:v>Approval rework</x:v>
      </x:c>
      <x:c r="C22" s="10" t="str">
        <x:v>Material corrections per pack</x:v>
      </x:c>
      <x:c r="D22" s="10" t="str">
        <x:v>CFO reviewer</x:v>
      </x:c>
      <x:c r="E22" s="10" t="str">
        <x:v>No increase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8" customHeight="1">
      <x:c r="A23" s="2"/>
      <x:c r="B23" s="10" t="str">
        <x:v>Question coverage</x:v>
      </x:c>
      <x:c r="C23" s="10" t="str">
        <x:v>Priority investor questions with approved answers / total</x:v>
      </x:c>
      <x:c r="D23" s="10" t="str">
        <x:v>IR</x:v>
      </x:c>
      <x:c r="E23" s="10" t="str">
        <x:v>Baseline then improve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8" hidden="0" customWidth="1"/>
    <x:col min="4" max="4" width="22" hidden="0" customWidth="1"/>
    <x:col min="5" max="5" width="42" hidden="0" customWidth="1"/>
    <x:col min="6" max="6" width="4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Control and investment examples</x:v>
      </x:c>
      <x:c r="C2" s="6"/>
      <x:c r="D2" s="6"/>
      <x:c r="E2" s="6"/>
      <x:c r="F2" s="6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ADVANCED. Two distinct teaching cases. Benefits remain outside the ROI model until evidenced.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Exception</x:v>
      </x:c>
      <x:c r="C6" s="9" t="str">
        <x:v>Amount £</x:v>
      </x:c>
      <x:c r="D6" s="9" t="str">
        <x:v>Owner</x:v>
      </x:c>
      <x:c r="E6" s="9" t="str">
        <x:v>Required action</x:v>
      </x:c>
      <x:c r="F6" s="9" t="str">
        <x:v>Status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8" customHeight="1">
      <x:c r="A7" s="2"/>
      <x:c r="B7" s="10" t="str">
        <x:v>Unmatched invoice</x:v>
      </x:c>
      <x:c r="C7" s="41" t="n">
        <x:v>25000</x:v>
      </x:c>
      <x:c r="D7" s="10" t="str">
        <x:v>AP lead</x:v>
      </x:c>
      <x:c r="E7" s="10" t="str">
        <x:v>Confirm receipt before posting</x:v>
      </x:c>
      <x:c r="F7" s="12" t="str">
        <x:v>Open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8" customHeight="1">
      <x:c r="A8" s="2"/>
      <x:c r="B8" s="10" t="str">
        <x:v>Conflicting account codes</x:v>
      </x:c>
      <x:c r="C8" s="41"/>
      <x:c r="D8" s="10" t="str">
        <x:v>Controller</x:v>
      </x:c>
      <x:c r="E8" s="10" t="str">
        <x:v>Confirm treatment and retain rationale</x:v>
      </x:c>
      <x:c r="F8" s="12" t="str">
        <x:v>Open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8" customHeight="1">
      <x:c r="A9" s="2"/>
      <x:c r="B9" s="10" t="str">
        <x:v>Missing evidence</x:v>
      </x:c>
      <x:c r="C9" s="41"/>
      <x:c r="D9" s="10" t="str">
        <x:v>Account owner</x:v>
      </x:c>
      <x:c r="E9" s="10" t="str">
        <x:v>Supply support and deadline</x:v>
      </x:c>
      <x:c r="F9" s="12" t="str">
        <x:v>Open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0" customHeight="1">
      <x:c r="A13" s="2"/>
      <x:c r="B13" s="9" t="str">
        <x:v>Investment question</x:v>
      </x:c>
      <x:c r="C13" s="9" t="str">
        <x:v>Assumption</x:v>
      </x:c>
      <x:c r="D13" s="9" t="str">
        <x:v>Owner</x:v>
      </x:c>
      <x:c r="E13" s="9" t="str">
        <x:v>Decision condition</x:v>
      </x:c>
      <x:c r="F13" s="9" t="str">
        <x:v>Evidence required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50" customHeight="1">
      <x:c r="A14" s="2"/>
      <x:c r="B14" s="10" t="str">
        <x:v>Demand below plan</x:v>
      </x:c>
      <x:c r="C14" s="10" t="str">
        <x:v>Downside case</x:v>
      </x:c>
      <x:c r="D14" s="10" t="str">
        <x:v>Sponsor</x:v>
      </x:c>
      <x:c r="E14" s="10" t="str">
        <x:v>Reassess return before approval</x:v>
      </x:c>
      <x:c r="F14" s="10" t="str">
        <x:v>Customer evidence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50" customHeight="1">
      <x:c r="A15" s="2"/>
      <x:c r="B15" s="10" t="str">
        <x:v>Benefits arrive late</x:v>
      </x:c>
      <x:c r="C15" s="10" t="str">
        <x:v>Timing risk</x:v>
      </x:c>
      <x:c r="D15" s="10" t="str">
        <x:v>Project owner</x:v>
      </x:c>
      <x:c r="E15" s="10" t="str">
        <x:v>Rephase cash flows and benefits</x:v>
      </x:c>
      <x:c r="F15" s="10" t="str">
        <x:v>Delivery milestones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0" customHeight="1">
      <x:c r="A16" s="2"/>
      <x:c r="B16" s="10" t="str">
        <x:v>Benefits have no owner</x:v>
      </x:c>
      <x:c r="C16" s="10" t="str">
        <x:v>Ownership gap</x:v>
      </x:c>
      <x:c r="D16" s="10" t="str">
        <x:v>CFO</x:v>
      </x:c>
      <x:c r="E16" s="10" t="str">
        <x:v>Do not commit until owner accepts</x:v>
      </x:c>
      <x:c r="F16" s="10" t="str">
        <x:v>Signed benefit plan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2"/>
      <x:c r="B20" s="2" t="str">
        <x:v>Effectiveness: material exceptions resolved before close; investments reviewed against explicit decision conditions.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5" hidden="0" customWidth="1"/>
    <x:col min="3" max="3" width="20" hidden="0" customWidth="1"/>
    <x:col min="4" max="4" width="20" hidden="0" customWidth="1"/>
    <x:col min="5" max="5" width="20" hidden="0" customWidth="1"/>
    <x:col min="6" max="6" width="40" hidden="0" customWidth="1"/>
    <x:col min="7" max="7" width="4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ACCELERATE pilot record</x:v>
      </x:c>
      <x:c r="C2" s="6"/>
      <x:c r="D2" s="6"/>
      <x:c r="E2" s="6"/>
      <x:c r="F2" s="6"/>
      <x:c r="G2" s="6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Two 4-hour sessions with a trial between. All observations below are simulated, not client results.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Work step</x:v>
      </x:c>
      <x:c r="C6" s="9" t="str">
        <x:v>Baseline hours</x:v>
      </x:c>
      <x:c r="D6" s="9" t="str">
        <x:v>Trial hours</x:v>
      </x:c>
      <x:c r="E6" s="9" t="str">
        <x:v>Hours released</x:v>
      </x:c>
      <x:c r="F6" s="9" t="str">
        <x:v>Evidence / review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2" customHeight="1">
      <x:c r="A7" s="2"/>
      <x:c r="B7" s="10" t="str">
        <x:v>Gather and reconcile</x:v>
      </x:c>
      <x:c r="C7" s="42" t="n">
        <x:v>11.25</x:v>
      </x:c>
      <x:c r="D7" s="42" t="n">
        <x:v>3.75</x:v>
      </x:c>
      <x:c r="E7" s="22" t="n">
        <x:f>IF(COUNT(C7:D7)=2,C7-D7,"Input needed")</x:f>
        <x:v>7.5</x:v>
      </x:c>
      <x:c r="F7" s="2" t="str">
        <x:v>Simulated time log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2" customHeight="1">
      <x:c r="A8" s="2"/>
      <x:c r="B8" s="10" t="str">
        <x:v>Forecast preparation</x:v>
      </x:c>
      <x:c r="C8" s="42" t="n">
        <x:v>7.5</x:v>
      </x:c>
      <x:c r="D8" s="42" t="n">
        <x:v>3</x:v>
      </x:c>
      <x:c r="E8" s="22" t="n">
        <x:f>IF(COUNT(C8:D8)=2,C8-D8,"Input needed")</x:f>
        <x:v>4.5</x:v>
      </x:c>
      <x:c r="F8" s="2" t="str">
        <x:v>Simulated time log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2" customHeight="1">
      <x:c r="A9" s="2"/>
      <x:c r="B9" s="10" t="str">
        <x:v>Variance commentary</x:v>
      </x:c>
      <x:c r="C9" s="42" t="n">
        <x:v>5.625</x:v>
      </x:c>
      <x:c r="D9" s="42" t="n">
        <x:v>2.625</x:v>
      </x:c>
      <x:c r="E9" s="22" t="n">
        <x:f>IF(COUNT(C9:D9)=2,C9-D9,"Input needed")</x:f>
        <x:v>3</x:v>
      </x:c>
      <x:c r="F9" s="2" t="str">
        <x:v>Simulated time log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2" customHeight="1">
      <x:c r="A10" s="2"/>
      <x:c r="B10" s="10" t="str">
        <x:v>Commercial challenge</x:v>
      </x:c>
      <x:c r="C10" s="42" t="n">
        <x:v>7.5</x:v>
      </x:c>
      <x:c r="D10" s="42" t="n">
        <x:v>7.5</x:v>
      </x:c>
      <x:c r="E10" s="22" t="n">
        <x:f>IF(COUNT(C10:D10)=2,C10-D10,"Input needed")</x:f>
        <x:v>0</x:v>
      </x:c>
      <x:c r="F10" s="2" t="str">
        <x:v>Review time protected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2" customHeight="1">
      <x:c r="A11" s="2"/>
      <x:c r="B11" s="10" t="str">
        <x:v>Controls and upkeep</x:v>
      </x:c>
      <x:c r="C11" s="42" t="n">
        <x:v>5.625</x:v>
      </x:c>
      <x:c r="D11" s="42" t="n">
        <x:v>5.625</x:v>
      </x:c>
      <x:c r="E11" s="22" t="n">
        <x:f>IF(COUNT(C11:D11)=2,C11-D11,"Input needed")</x:f>
        <x:v>0</x:v>
      </x:c>
      <x:c r="F11" s="2" t="str">
        <x:v>Includes rework and task maintenance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/>
      <x:c r="B12" s="2" t="str">
        <x:v>Total hours</x:v>
      </x:c>
      <x:c r="C12" s="22" t="n">
        <x:f>IF(COUNT(C7:C11)=5,SUM(C7:C11),"Input needed")</x:f>
        <x:v>37.5</x:v>
      </x:c>
      <x:c r="D12" s="22" t="n">
        <x:f>IF(COUNT(D7:D11)=5,SUM(D7:D11),"Input needed")</x:f>
        <x:v>22.5</x:v>
      </x:c>
      <x:c r="E12" s="22" t="n">
        <x:f>IF(COUNT(C12:D12)=2,C12-D12,"Input needed")</x:f>
        <x:v>15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3" customHeight="1">
      <x:c r="A14" s="2"/>
      <x:c r="B14" s="2" t="str">
        <x:v>Effort reduction</x:v>
      </x:c>
      <x:c r="C14" s="20" t="n">
        <x:f>IF(COUNT(C12:D12)=2,IF(C12=0,"n.a.",E12/C12),"Input needed")</x:f>
        <x:v>0.4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0" customHeight="1">
      <x:c r="A18" s="2"/>
      <x:c r="B18" s="9" t="str">
        <x:v>Effectiveness measure</x:v>
      </x:c>
      <x:c r="C18" s="9" t="str">
        <x:v>Baseline</x:v>
      </x:c>
      <x:c r="D18" s="9" t="str">
        <x:v>Trial</x:v>
      </x:c>
      <x:c r="E18" s="9" t="str">
        <x:v>Unit</x:v>
      </x:c>
      <x:c r="F18" s="9" t="str">
        <x:v>Evidence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0" customHeight="1">
      <x:c r="A19" s="2"/>
      <x:c r="B19" s="10" t="str">
        <x:v>Decision lead time</x:v>
      </x:c>
      <x:c r="C19" s="12" t="n">
        <x:v>2</x:v>
      </x:c>
      <x:c r="D19" s="12" t="n">
        <x:v>5</x:v>
      </x:c>
      <x:c r="E19" s="10" t="str">
        <x:v>Business days before deadline</x:v>
      </x:c>
      <x:c r="F19" s="10" t="str">
        <x:v>Simulated decision timestamps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0" customHeight="1">
      <x:c r="A20" s="2"/>
      <x:c r="B20" s="10" t="str">
        <x:v>Material corrections</x:v>
      </x:c>
      <x:c r="C20" s="12" t="n">
        <x:v>3</x:v>
      </x:c>
      <x:c r="D20" s="12" t="n">
        <x:v>1</x:v>
      </x:c>
      <x:c r="E20" s="10" t="str">
        <x:v>Per comparable pack</x:v>
      </x:c>
      <x:c r="F20" s="10" t="str">
        <x:v>Simulated reviewer log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0" customHeight="1">
      <x:c r="A21" s="2"/>
      <x:c r="B21" s="10" t="str">
        <x:v>Priority claims supported</x:v>
      </x:c>
      <x:c r="C21" s="15" t="n">
        <x:v>0.8</x:v>
      </x:c>
      <x:c r="D21" s="15" t="n">
        <x:v>1</x:v>
      </x:c>
      <x:c r="E21" s="10" t="str">
        <x:v>Share of material claims</x:v>
      </x:c>
      <x:c r="F21" s="10" t="str">
        <x:v>Simulated evidence review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0" customHeight="1">
      <x:c r="A22" s="2"/>
      <x:c r="B22" s="10" t="str">
        <x:v>Commercial action accepted</x:v>
      </x:c>
      <x:c r="C22" s="12" t="str">
        <x:v>No</x:v>
      </x:c>
      <x:c r="D22" s="12" t="str">
        <x:v>Yes</x:v>
      </x:c>
      <x:c r="E22" s="10" t="str">
        <x:v>Decision owner response</x:v>
      </x:c>
      <x:c r="F22" s="10" t="str">
        <x:v>Simulation; not realised margin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0" customHeight="1">
      <x:c r="A25" s="2"/>
      <x:c r="B25" s="9" t="str">
        <x:v>New handoff</x:v>
      </x:c>
      <x:c r="C25" s="9" t="str">
        <x:v>Owner</x:v>
      </x:c>
      <x:c r="D25" s="9" t="str">
        <x:v>When</x:v>
      </x:c>
      <x:c r="E25" s="9" t="str">
        <x:v>Acceptance</x:v>
      </x:c>
      <x:c r="F25" s="9" t="str">
        <x:v>Action record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45" customHeight="1">
      <x:c r="A26" s="2"/>
      <x:c r="B26" s="10" t="str">
        <x:v>One approved data cut</x:v>
      </x:c>
      <x:c r="C26" s="10" t="str">
        <x:v>Finance lead</x:v>
      </x:c>
      <x:c r="D26" s="10" t="str">
        <x:v>Day 1</x:v>
      </x:c>
      <x:c r="E26" s="10" t="str">
        <x:v>Inputs reconcile</x:v>
      </x:c>
      <x:c r="F26" s="10" t="str">
        <x:v>Log missing inputs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45" customHeight="1">
      <x:c r="A27" s="2"/>
      <x:c r="B27" s="10" t="str">
        <x:v>Checked options to Sales</x:v>
      </x:c>
      <x:c r="C27" s="10" t="str">
        <x:v>Business partner</x:v>
      </x:c>
      <x:c r="D27" s="10" t="str">
        <x:v>Day 2</x:v>
      </x:c>
      <x:c r="E27" s="10" t="str">
        <x:v>Assumptions explicit</x:v>
      </x:c>
      <x:c r="F27" s="10" t="str">
        <x:v>Challenge demand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45" customHeight="1">
      <x:c r="A28" s="2"/>
      <x:c r="B28" s="10" t="str">
        <x:v>Decision and follow-up</x:v>
      </x:c>
      <x:c r="C28" s="10" t="str">
        <x:v>Commercial Director</x:v>
      </x:c>
      <x:c r="D28" s="10" t="str">
        <x:v>Day 3</x:v>
      </x:c>
      <x:c r="E28" s="10" t="str">
        <x:v>Action and review named</x:v>
      </x:c>
      <x:c r="F28" s="10" t="str">
        <x:v>Test price with a bounded group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 t="str">
        <x:v>Sample conclusion: adopt the next bounded trial. Do not book cash savings or margin uplift from these simulated results.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 t="str">
        <x:v>Your live pilot decision</x:v>
      </x:c>
      <x:c r="C33" s="36" t="str">
        <x:v>Not recorded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 t="str">
        <x:v>Decision owner</x:v>
      </x:c>
      <x:c r="C34" s="3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 t="str">
        <x:v>Review date</x:v>
      </x:c>
      <x:c r="C35" s="3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  <x:col min="7" max="7" width="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3" customHeight="1">
      <x:c r="A2" s="2"/>
      <x:c r="B2" s="5" t="str">
        <x:v>FUNCTION operating plan</x:v>
      </x:c>
      <x:c r="C2" s="6"/>
      <x:c r="D2" s="6"/>
      <x:c r="E2" s="6"/>
      <x:c r="F2" s="6"/>
      <x:c r="G2" s="6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4" t="str">
        <x:v>8 hours, synthesis and 4 hours. A 13-week sample plan with outcome owners and decision gates.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0" customHeight="1">
      <x:c r="A6" s="2"/>
      <x:c r="B6" s="9" t="str">
        <x:v>Experiment</x:v>
      </x:c>
      <x:c r="C6" s="9" t="str">
        <x:v>Owner</x:v>
      </x:c>
      <x:c r="D6" s="9" t="str">
        <x:v>Weeks 1–4</x:v>
      </x:c>
      <x:c r="E6" s="9" t="str">
        <x:v>Weeks 5–8</x:v>
      </x:c>
      <x:c r="F6" s="9" t="str">
        <x:v>Weeks 9–13</x:v>
      </x:c>
      <x:c r="G6" s="9" t="str">
        <x:v>Scale condition</x:v>
      </x:c>
      <x:c r="H6" s="2"/>
      <x:c r="I6" s="2"/>
      <x:c r="J6" s="2"/>
      <x:c r="K6" s="2"/>
      <x:c r="L6" s="2"/>
      <x:c r="M6" s="2"/>
      <x:c r="N6" s="2"/>
      <x:c r="O6" s="2"/>
      <x:c r="P6" s="2"/>
    </x:row>
    <x:row r="7" ht="75" customHeight="1">
      <x:c r="A7" s="2"/>
      <x:c r="B7" s="10" t="str">
        <x:v>Margin decision routine</x:v>
      </x:c>
      <x:c r="C7" s="10" t="str">
        <x:v>FP&amp;A / Commercial</x:v>
      </x:c>
      <x:c r="D7" s="10" t="str">
        <x:v>Measure current effort and timing</x:v>
      </x:c>
      <x:c r="E7" s="10" t="str">
        <x:v>Trial model and earlier review</x:v>
      </x:c>
      <x:c r="F7" s="10" t="str">
        <x:v>Validate action and rework</x:v>
      </x:c>
      <x:c r="G7" s="10" t="str">
        <x:v>Earlier decisions with quality intact</x:v>
      </x:c>
      <x:c r="H7" s="2"/>
      <x:c r="I7" s="2"/>
      <x:c r="J7" s="2"/>
      <x:c r="K7" s="2"/>
      <x:c r="L7" s="2"/>
      <x:c r="M7" s="2"/>
      <x:c r="N7" s="2"/>
      <x:c r="O7" s="2"/>
      <x:c r="P7" s="2"/>
    </x:row>
    <x:row r="8" ht="75" customHeight="1">
      <x:c r="A8" s="2"/>
      <x:c r="B8" s="10" t="str">
        <x:v>Cash warning routine</x:v>
      </x:c>
      <x:c r="C8" s="10" t="str">
        <x:v>Treasurer</x:v>
      </x:c>
      <x:c r="D8" s="10" t="str">
        <x:v>Confirm inputs and buffer</x:v>
      </x:c>
      <x:c r="E8" s="10" t="str">
        <x:v>Run warning and action log</x:v>
      </x:c>
      <x:c r="F8" s="10" t="str">
        <x:v>Review accuracy and warning time</x:v>
      </x:c>
      <x:c r="G8" s="10" t="str">
        <x:v>Useful warning and accepted ownership</x:v>
      </x:c>
      <x:c r="H8" s="2"/>
      <x:c r="I8" s="2"/>
      <x:c r="J8" s="2"/>
      <x:c r="K8" s="2"/>
      <x:c r="L8" s="2"/>
      <x:c r="M8" s="2"/>
      <x:c r="N8" s="2"/>
      <x:c r="O8" s="2"/>
      <x:c r="P8" s="2"/>
    </x:row>
    <x:row r="9" ht="75" customHeight="1">
      <x:c r="A9" s="2"/>
      <x:c r="B9" s="10" t="str">
        <x:v>Investor answer pack</x:v>
      </x:c>
      <x:c r="C9" s="10" t="str">
        <x:v>Head of IR</x:v>
      </x:c>
      <x:c r="D9" s="10" t="str">
        <x:v>Agree fact and approval rules</x:v>
      </x:c>
      <x:c r="E9" s="10" t="str">
        <x:v>Rehearse priority questions</x:v>
      </x:c>
      <x:c r="F9" s="10" t="str">
        <x:v>Review corrections and coverage</x:v>
      </x:c>
      <x:c r="G9" s="10" t="str">
        <x:v>Supported claims and no disclosure gaps</x:v>
      </x:c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0" customHeight="1">
      <x:c r="A12" s="2"/>
      <x:c r="B12" s="9" t="str">
        <x:v>CFO metric</x:v>
      </x:c>
      <x:c r="C12" s="9" t="str">
        <x:v>Definition</x:v>
      </x:c>
      <x:c r="D12" s="9" t="str">
        <x:v>Baseline</x:v>
      </x:c>
      <x:c r="E12" s="9" t="str">
        <x:v>Pilot target</x:v>
      </x:c>
      <x:c r="F12" s="9" t="str">
        <x:v>Evidence owner</x:v>
      </x:c>
      <x:c r="G12" s="9" t="str">
        <x:v>Review</x:v>
      </x:c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59" customHeight="1">
      <x:c r="A13" s="2"/>
      <x:c r="B13" s="10" t="str">
        <x:v>Cashable value</x:v>
      </x:c>
      <x:c r="C13" s="10" t="str">
        <x:v>Expense actually avoided or removed</x:v>
      </x:c>
      <x:c r="D13" s="10" t="str">
        <x:v>To establish</x:v>
      </x:c>
      <x:c r="E13" s="10" t="str">
        <x:v>Named expense + owner</x:v>
      </x:c>
      <x:c r="F13" s="10" t="str">
        <x:v>Budget owner</x:v>
      </x:c>
      <x:c r="G13" s="10" t="str">
        <x:v>Month 3 and quarterly</x:v>
      </x:c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59" customHeight="1">
      <x:c r="A14" s="2"/>
      <x:c r="B14" s="10" t="str">
        <x:v>Net capacity</x:v>
      </x:c>
      <x:c r="C14" s="10" t="str">
        <x:v>Hours released after all recurring effort</x:v>
      </x:c>
      <x:c r="D14" s="10" t="str">
        <x:v>5 days sample</x:v>
      </x:c>
      <x:c r="E14" s="10" t="str">
        <x:v>3 days target</x:v>
      </x:c>
      <x:c r="F14" s="10" t="str">
        <x:v>Finance process owner</x:v>
      </x:c>
      <x:c r="G14" s="10" t="str">
        <x:v>Each comparable cycle</x:v>
      </x:c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59" customHeight="1">
      <x:c r="A15" s="2"/>
      <x:c r="B15" s="10" t="str">
        <x:v>Forecast accuracy</x:v>
      </x:c>
      <x:c r="C15" s="10" t="str">
        <x:v>Absolute receipts error / actual receipts</x:v>
      </x:c>
      <x:c r="D15" s="10" t="str">
        <x:v>To establish</x:v>
      </x:c>
      <x:c r="E15" s="10" t="str">
        <x:v>No deterioration</x:v>
      </x:c>
      <x:c r="F15" s="10" t="str">
        <x:v>Treasury</x:v>
      </x:c>
      <x:c r="G15" s="10" t="str">
        <x:v>Weekly</x:v>
      </x:c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9" customHeight="1">
      <x:c r="A16" s="2"/>
      <x:c r="B16" s="10" t="str">
        <x:v>Decision timing</x:v>
      </x:c>
      <x:c r="C16" s="10" t="str">
        <x:v>Days from usable options to decision deadline</x:v>
      </x:c>
      <x:c r="D16" s="10" t="str">
        <x:v>2 days simulated</x:v>
      </x:c>
      <x:c r="E16" s="10" t="str">
        <x:v>5 days simulated</x:v>
      </x:c>
      <x:c r="F16" s="10" t="str">
        <x:v>Commercial Director</x:v>
      </x:c>
      <x:c r="G16" s="10" t="str">
        <x:v>Each pricing review</x:v>
      </x:c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59" customHeight="1">
      <x:c r="A17" s="2"/>
      <x:c r="B17" s="10" t="str">
        <x:v>Evidence coverage</x:v>
      </x:c>
      <x:c r="C17" s="10" t="str">
        <x:v>Supported material claims / total</x:v>
      </x:c>
      <x:c r="D17" s="10" t="str">
        <x:v>80% simulated</x:v>
      </x:c>
      <x:c r="E17" s="10" t="str">
        <x:v>100%</x:v>
      </x:c>
      <x:c r="F17" s="10" t="str">
        <x:v>Head of IR</x:v>
      </x:c>
      <x:c r="G17" s="10" t="str">
        <x:v>Each pack</x:v>
      </x:c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59" customHeight="1">
      <x:c r="A18" s="2"/>
      <x:c r="B18" s="10" t="str">
        <x:v>Quality</x:v>
      </x:c>
      <x:c r="C18" s="10" t="str">
        <x:v>Material corrections per pack</x:v>
      </x:c>
      <x:c r="D18" s="10" t="str">
        <x:v>3 simulated</x:v>
      </x:c>
      <x:c r="E18" s="10" t="str">
        <x:v>No increase; 1 simulated</x:v>
      </x:c>
      <x:c r="F18" s="10" t="str">
        <x:v>Controller</x:v>
      </x:c>
      <x:c r="G18" s="10" t="str">
        <x:v>Each cycle</x:v>
      </x:c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59" customHeight="1">
      <x:c r="A19" s="2"/>
      <x:c r="B19" s="10" t="str">
        <x:v>Adoption</x:v>
      </x:c>
      <x:c r="C19" s="10" t="str">
        <x:v>Eligible cycles using the agreed routine / total</x:v>
      </x:c>
      <x:c r="D19" s="10" t="str">
        <x:v>To establish</x:v>
      </x:c>
      <x:c r="E19" s="10" t="str">
        <x:v>75% assumption</x:v>
      </x:c>
      <x:c r="F19" s="10" t="str">
        <x:v>Function lead</x:v>
      </x:c>
      <x:c r="G19" s="10" t="str">
        <x:v>Monthly</x:v>
      </x:c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65" customHeight="1">
      <x:c r="A20" s="2"/>
      <x:c r="B20" s="10" t="str">
        <x:v>Realised margin</x:v>
      </x:c>
      <x:c r="C20" s="10" t="str">
        <x:v>Contribution £ and margin bps vs agreed counterfactual</x:v>
      </x:c>
      <x:c r="D20" s="10" t="str">
        <x:v>To establish</x:v>
      </x:c>
      <x:c r="E20" s="10" t="str">
        <x:v>Positive after volume and mix effects</x:v>
      </x:c>
      <x:c r="F20" s="10" t="str">
        <x:v>Commercial + Finance</x:v>
      </x:c>
      <x:c r="G20" s="10" t="str">
        <x:v>After pricing trial</x:v>
      </x:c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65" customHeight="1">
      <x:c r="A21" s="2"/>
      <x:c r="B21" s="10" t="str">
        <x:v>Working capital</x:v>
      </x:c>
      <x:c r="C21" s="10" t="str">
        <x:v>DSO change and cash released £, separate from profit</x:v>
      </x:c>
      <x:c r="D21" s="10" t="str">
        <x:v>To establish</x:v>
      </x:c>
      <x:c r="E21" s="10" t="str">
        <x:v>Agree with Treasury</x:v>
      </x:c>
      <x:c r="F21" s="10" t="str">
        <x:v>AR + Treasury</x:v>
      </x:c>
      <x:c r="G21" s="10" t="str">
        <x:v>Monthly</x:v>
      </x:c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0" customHeight="1">
      <x:c r="A22" s="2"/>
      <x:c r="B22" s="9" t="str">
        <x:v>Capacity allocation</x:v>
      </x:c>
      <x:c r="C22" s="9" t="str">
        <x:v>Owner</x:v>
      </x:c>
      <x:c r="D22" s="9" t="str">
        <x:v>Evidence of use</x:v>
      </x:c>
      <x:c r="E22" s="9" t="str">
        <x:v>Value category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50" customHeight="1">
      <x:c r="A23" s="2"/>
      <x:c r="B23" s="10" t="str">
        <x:v>Test margin alternatives</x:v>
      </x:c>
      <x:c r="C23" s="10" t="str">
        <x:v>Business partner</x:v>
      </x:c>
      <x:c r="D23" s="10" t="str">
        <x:v>Options and recorded action</x:v>
      </x:c>
      <x:c r="E23" s="10" t="str">
        <x:v>Decision effectiveness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50" customHeight="1">
      <x:c r="A24" s="2"/>
      <x:c r="B24" s="10" t="str">
        <x:v>Investigate cash risks</x:v>
      </x:c>
      <x:c r="C24" s="10" t="str">
        <x:v>Treasurer</x:v>
      </x:c>
      <x:c r="D24" s="10" t="str">
        <x:v>Earlier warning and completed response</x:v>
      </x:c>
      <x:c r="E24" s="10" t="str">
        <x:v>Risk and liquidity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50" customHeight="1">
      <x:c r="A25" s="2"/>
      <x:c r="B25" s="10" t="str">
        <x:v>Improve investor preparation</x:v>
      </x:c>
      <x:c r="C25" s="10" t="str">
        <x:v>Head of IR</x:v>
      </x:c>
      <x:c r="D25" s="10" t="str">
        <x:v>Supported answers and fewer corrections</x:v>
      </x:c>
      <x:c r="E25" s="10" t="str">
        <x:v>Communication quality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 t="str">
        <x:v>CFO charter: confirm owners, approve capacity priorities and review cash, quality and decisions together.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 t="str">
        <x:v>Scale only after a live pilot passes the approval gates on CFO Scorecard.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 t="str">
        <x:v>Programme source: https://www.incrementalpathway.com/organisation-journeys/?function=finance#function-blueprint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</x:sheetData>
  <x:pageMargins left="0.7" right="0.7" top="0.75" bottom="0.75" header="0.3" footer="0.3"/>
</x:worksheet>
</file>